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Roundtable\"/>
    </mc:Choice>
  </mc:AlternateContent>
  <bookViews>
    <workbookView xWindow="0" yWindow="0" windowWidth="23040" windowHeight="9216"/>
  </bookViews>
  <sheets>
    <sheet name="Setup &amp; Instructions" sheetId="2" r:id="rId1"/>
    <sheet name="Data Entry" sheetId="1" r:id="rId2"/>
    <sheet name="Scorecard" sheetId="4" r:id="rId3"/>
  </sheets>
  <definedNames>
    <definedName name="adds">'Data Entry'!$L$26</definedName>
    <definedName name="beascout_flag">'Data Entry'!$N$21</definedName>
    <definedName name="bronze_met">'Data Entry'!$N$22</definedName>
    <definedName name="build_bronze_score">'Data Entry'!$K$21</definedName>
    <definedName name="build_gold_points">'Data Entry'!$M$21</definedName>
    <definedName name="build_gold_score">'Data Entry'!$J$18</definedName>
    <definedName name="build_silver_points">'Data Entry'!$L$21</definedName>
    <definedName name="build_silver_score">'Data Entry'!$I$18</definedName>
    <definedName name="DistrictName">'Setup &amp; Instructions'!$C$7</definedName>
    <definedName name="drops">'Data Entry'!$L$24</definedName>
    <definedName name="gain">'Data Entry'!$L$27</definedName>
    <definedName name="gold_auto_score">'Data Entry'!$M$23</definedName>
    <definedName name="num_scouts">'Data Entry'!$D$30</definedName>
    <definedName name="_xlnm.Print_Area" localSheetId="1">'Data Entry'!$A$1:$J$122</definedName>
    <definedName name="_xlnm.Print_Titles" localSheetId="1">'Data Entry'!$1:$4</definedName>
    <definedName name="RECHARTER_CALC">'Data Entry'!$M$38</definedName>
    <definedName name="recruitment_event">'Data Entry'!$D$21</definedName>
    <definedName name="silver_auto_score">'Data Entry'!$L$23</definedName>
  </definedNames>
  <calcPr calcId="181029"/>
</workbook>
</file>

<file path=xl/calcChain.xml><?xml version="1.0" encoding="utf-8"?>
<calcChain xmlns="http://schemas.openxmlformats.org/spreadsheetml/2006/main">
  <c r="A1" i="1" l="1"/>
  <c r="C30" i="1"/>
  <c r="C22" i="1"/>
  <c r="L27" i="1"/>
  <c r="F31" i="1"/>
  <c r="K24" i="1" s="1"/>
  <c r="E28" i="1" l="1"/>
  <c r="E24" i="1"/>
  <c r="C34" i="1" l="1"/>
  <c r="F29" i="1" l="1"/>
  <c r="F36" i="1" s="1"/>
  <c r="F34" i="1" l="1"/>
  <c r="C35" i="1"/>
  <c r="C24" i="1"/>
  <c r="F38" i="1" l="1"/>
  <c r="C29" i="1"/>
  <c r="F28" i="1"/>
  <c r="C28" i="1"/>
  <c r="F24" i="1"/>
  <c r="F113" i="1"/>
  <c r="F43" i="1"/>
  <c r="M38" i="1" l="1"/>
  <c r="N22" i="1"/>
  <c r="L26" i="1"/>
  <c r="L24" i="1"/>
  <c r="F50" i="1"/>
  <c r="K50" i="1" s="1"/>
  <c r="K26" i="1"/>
  <c r="K44" i="1"/>
  <c r="F110" i="1"/>
  <c r="F112" i="1" s="1"/>
  <c r="K111" i="1" s="1"/>
  <c r="F67" i="1"/>
  <c r="K67" i="1" s="1"/>
  <c r="F115" i="1"/>
  <c r="F105" i="1"/>
  <c r="K102" i="1" s="1"/>
  <c r="F95" i="1"/>
  <c r="K83" i="1" s="1"/>
  <c r="F77" i="1"/>
  <c r="K73" i="1" s="1"/>
  <c r="F62" i="1"/>
  <c r="K55" i="1" s="1"/>
  <c r="A1" i="4"/>
  <c r="A2" i="1"/>
  <c r="F15" i="1"/>
  <c r="K10" i="1" s="1"/>
  <c r="J107" i="1" l="1"/>
  <c r="K19" i="4" s="1"/>
  <c r="K37" i="1"/>
  <c r="J18" i="1"/>
  <c r="I18" i="1" s="1"/>
  <c r="H64" i="1"/>
  <c r="I14" i="4" s="1"/>
  <c r="J64" i="1"/>
  <c r="K14" i="4" s="1"/>
  <c r="I64" i="1"/>
  <c r="J14" i="4" s="1"/>
  <c r="H52" i="1"/>
  <c r="I13" i="4" s="1"/>
  <c r="J52" i="1"/>
  <c r="K13" i="4" s="1"/>
  <c r="I52" i="1"/>
  <c r="J13" i="4" s="1"/>
  <c r="J6" i="1"/>
  <c r="K6" i="4" s="1"/>
  <c r="H6" i="1"/>
  <c r="I6" i="1"/>
  <c r="H79" i="1"/>
  <c r="I16" i="4" s="1"/>
  <c r="J79" i="1"/>
  <c r="K16" i="4" s="1"/>
  <c r="I79" i="1"/>
  <c r="J16" i="4" s="1"/>
  <c r="I69" i="1"/>
  <c r="J15" i="4" s="1"/>
  <c r="J69" i="1"/>
  <c r="K15" i="4" s="1"/>
  <c r="H69" i="1"/>
  <c r="I15" i="4" s="1"/>
  <c r="J40" i="1"/>
  <c r="K10" i="4" s="1"/>
  <c r="H40" i="1"/>
  <c r="I10" i="4" s="1"/>
  <c r="I40" i="1"/>
  <c r="J10" i="4" s="1"/>
  <c r="J47" i="1"/>
  <c r="K12" i="4" s="1"/>
  <c r="I47" i="1"/>
  <c r="J12" i="4" s="1"/>
  <c r="H47" i="1"/>
  <c r="I12" i="4" s="1"/>
  <c r="J98" i="1"/>
  <c r="K18" i="4" s="1"/>
  <c r="I98" i="1"/>
  <c r="J18" i="4" s="1"/>
  <c r="H98" i="1"/>
  <c r="I18" i="4" s="1"/>
  <c r="I107" i="1" l="1"/>
  <c r="J19" i="4" s="1"/>
  <c r="H107" i="1"/>
  <c r="I19" i="4" s="1"/>
  <c r="J33" i="1"/>
  <c r="K9" i="4" s="1"/>
  <c r="I33" i="1"/>
  <c r="J9" i="4" s="1"/>
  <c r="H33" i="1"/>
  <c r="I9" i="4" s="1"/>
  <c r="J121" i="1"/>
  <c r="K8" i="4"/>
  <c r="J6" i="4"/>
  <c r="I6" i="4"/>
  <c r="I121" i="1" l="1"/>
  <c r="J119" i="1"/>
  <c r="H18" i="1"/>
  <c r="I8" i="4" s="1"/>
  <c r="I119" i="1"/>
  <c r="J8" i="4"/>
  <c r="H121" i="1" l="1"/>
  <c r="J122" i="1" s="1"/>
  <c r="H23" i="4" s="1"/>
  <c r="H119" i="1"/>
  <c r="J120" i="1" s="1"/>
  <c r="D120" i="1" l="1"/>
  <c r="A122" i="1" s="1"/>
  <c r="H21" i="4"/>
  <c r="A121" i="1" l="1"/>
  <c r="A22" i="4"/>
  <c r="A21" i="4"/>
  <c r="A120" i="1"/>
  <c r="A23" i="4"/>
</calcChain>
</file>

<file path=xl/comments1.xml><?xml version="1.0" encoding="utf-8"?>
<comments xmlns="http://schemas.openxmlformats.org/spreadsheetml/2006/main">
  <authors>
    <author>Jeff Rand</author>
    <author>Rick Hillenbrand</author>
  </authors>
  <commentList>
    <comment ref="F15" authorId="0" shapeId="0">
      <text>
        <r>
          <rPr>
            <sz val="8"/>
            <color rgb="FF000000"/>
            <rFont val="Tahoma"/>
            <family val="2"/>
          </rPr>
          <t xml:space="preserve">Counts number of cells with committee meeting dates entered.
</t>
        </r>
      </text>
    </comment>
    <comment ref="D26" authorId="1" shapeId="0">
      <text>
        <r>
          <rPr>
            <sz val="8"/>
            <color rgb="FF000000"/>
            <rFont val="Tahoma"/>
            <family val="2"/>
          </rPr>
          <t>Do NOT include AoL transfers.</t>
        </r>
      </text>
    </comment>
    <comment ref="F29" authorId="0" shapeId="0">
      <text>
        <r>
          <rPr>
            <sz val="8"/>
            <color rgb="FF000000"/>
            <rFont val="Tahoma"/>
            <family val="2"/>
          </rPr>
          <t>Note: This value may be different than on your recharter package depending on how you handled AoLs joining the unit.
=A-B+D+E+F</t>
        </r>
      </text>
    </comment>
    <comment ref="F31" authorId="0" shapeId="0">
      <text>
        <r>
          <rPr>
            <sz val="8"/>
            <color rgb="FF000000"/>
            <rFont val="Tahoma"/>
            <family val="2"/>
          </rPr>
          <t>=H/A-1</t>
        </r>
      </text>
    </comment>
    <comment ref="F38" authorId="0" shapeId="0">
      <text>
        <r>
          <rPr>
            <sz val="8"/>
            <color rgb="FF000000"/>
            <rFont val="Tahoma"/>
            <family val="2"/>
          </rPr>
          <t>Number reregistered divided by number eligible to reregister.  (Applications submitted with recharter will be subracted here)
=(H-J)/K (not to exceed 100%)</t>
        </r>
      </text>
    </comment>
    <comment ref="F43" authorId="0" shapeId="0">
      <text>
        <r>
          <rPr>
            <sz val="8"/>
            <color rgb="FF000000"/>
            <rFont val="Tahoma"/>
            <family val="2"/>
          </rPr>
          <t>Same value as E.</t>
        </r>
      </text>
    </comment>
    <comment ref="F50" authorId="0" shapeId="0">
      <text>
        <r>
          <rPr>
            <sz val="8"/>
            <color rgb="FF000000"/>
            <rFont val="Tahoma"/>
            <family val="2"/>
          </rPr>
          <t>Count of Scouts advancing divided by current membership.</t>
        </r>
      </text>
    </comment>
    <comment ref="F62" authorId="0" shapeId="0">
      <text>
        <r>
          <rPr>
            <sz val="8"/>
            <color rgb="FF000000"/>
            <rFont val="Tahoma"/>
            <family val="2"/>
          </rPr>
          <t>Counts number of cells with overnight campout dates entered.</t>
        </r>
      </text>
    </comment>
    <comment ref="F67" authorId="0" shapeId="0">
      <text>
        <r>
          <rPr>
            <sz val="8"/>
            <color rgb="FF000000"/>
            <rFont val="Tahoma"/>
            <family val="2"/>
          </rPr>
          <t>Number of Scouts camping divided by number registered on June 30.</t>
        </r>
      </text>
    </comment>
    <comment ref="F77" authorId="0" shapeId="0">
      <text>
        <r>
          <rPr>
            <sz val="8"/>
            <color rgb="FF000000"/>
            <rFont val="Tahoma"/>
            <family val="2"/>
          </rPr>
          <t>Counts number of cells with service project dates entered.</t>
        </r>
      </text>
    </comment>
    <comment ref="F95" authorId="0" shapeId="0">
      <text>
        <r>
          <rPr>
            <sz val="8"/>
            <color rgb="FF000000"/>
            <rFont val="Tahoma"/>
            <family val="2"/>
          </rPr>
          <t>Counts number of cells with PLC meeting dates entered.</t>
        </r>
      </text>
    </comment>
    <comment ref="F105" authorId="0" shapeId="0">
      <text>
        <r>
          <rPr>
            <sz val="8"/>
            <color rgb="FF000000"/>
            <rFont val="Tahoma"/>
            <family val="2"/>
          </rPr>
          <t>Counts number of cells with courts of honor dates entered.</t>
        </r>
      </text>
    </comment>
    <comment ref="F110" authorId="0" shapeId="0">
      <text>
        <r>
          <rPr>
            <sz val="8"/>
            <color rgb="FF000000"/>
            <rFont val="Tahoma"/>
            <family val="2"/>
          </rPr>
          <t>Same value as Cell D100.</t>
        </r>
      </text>
    </comment>
    <comment ref="F112" authorId="0" shapeId="0">
      <text>
        <r>
          <rPr>
            <sz val="8"/>
            <color rgb="FF000000"/>
            <rFont val="Tahoma"/>
            <family val="2"/>
          </rPr>
          <t>Number of assistant Scoutmasters completing training divided by total number of assistant Scoutmasters.</t>
        </r>
      </text>
    </comment>
    <comment ref="F113" authorId="0" shapeId="0">
      <text>
        <r>
          <rPr>
            <sz val="8"/>
            <color rgb="FF000000"/>
            <rFont val="Tahoma"/>
            <family val="2"/>
          </rPr>
          <t>Same value as Cell D101.</t>
        </r>
      </text>
    </comment>
    <comment ref="F115" authorId="0" shapeId="0">
      <text>
        <r>
          <rPr>
            <sz val="8"/>
            <color rgb="FF000000"/>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<sst xmlns="http://schemas.openxmlformats.org/spreadsheetml/2006/main" count="224" uniqueCount="206">
  <si>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</si>
  <si>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</si>
  <si>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</si>
  <si>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</si>
  <si>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</si>
  <si>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</si>
  <si>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</si>
  <si>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</si>
  <si>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</si>
  <si>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</si>
  <si>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</si>
  <si>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</si>
  <si>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</si>
  <si>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</si>
  <si>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</si>
  <si>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rPr>
        <i/>
        <sz val="10"/>
        <color indexed="8"/>
        <rFont val="Calibri"/>
        <family val="2"/>
      </rPr>
      <t xml:space="preserve"> Percent:</t>
    </r>
    <r>
      <rPr>
        <sz val="10"/>
        <color indexed="8"/>
        <rFont val="Calibri"/>
        <family val="2"/>
      </rPr>
      <t xml:space="preserve"> Camping rate</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</si>
  <si>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</si>
  <si>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</si>
  <si>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</si>
  <si>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</si>
  <si>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</si>
  <si>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</si>
  <si>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</si>
  <si>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</si>
  <si>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</si>
  <si>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</si>
  <si>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t>Enter District Name</t>
  </si>
  <si>
    <t>Enter Report Date</t>
  </si>
  <si>
    <r>
      <rPr>
        <b/>
        <sz val="10"/>
        <rFont val="Calibri"/>
        <family val="2"/>
      </rPr>
      <t>Bronze:</t>
    </r>
    <r>
      <rPr>
        <sz val="10"/>
        <rFont val="Calibri"/>
        <family val="2"/>
      </rPr>
      <t xml:space="preserve">  Earn at least 525 points by earning points in at least 7 objectives.</t>
    </r>
  </si>
  <si>
    <t xml:space="preserve">    Total points earned:         </t>
  </si>
  <si>
    <t xml:space="preserve">    No. of objectives with points:         </t>
  </si>
  <si>
    <t>Item</t>
  </si>
  <si>
    <t>Bronze Level</t>
  </si>
  <si>
    <t>Silver Level</t>
  </si>
  <si>
    <t>Gold Level</t>
  </si>
  <si>
    <t>Total Points:</t>
  </si>
  <si>
    <t>#1</t>
  </si>
  <si>
    <t xml:space="preserve"> </t>
  </si>
  <si>
    <t>#2</t>
  </si>
  <si>
    <t>#3</t>
  </si>
  <si>
    <t>#4</t>
  </si>
  <si>
    <t>#5</t>
  </si>
  <si>
    <t>#6</t>
  </si>
  <si>
    <t>#7</t>
  </si>
  <si>
    <t>#8</t>
  </si>
  <si>
    <t>#9</t>
  </si>
  <si>
    <t>Volunteer Leadership</t>
  </si>
  <si>
    <t>#10</t>
  </si>
  <si>
    <t>#11</t>
  </si>
  <si>
    <t>o</t>
  </si>
  <si>
    <r>
      <rPr>
        <b/>
        <sz val="10"/>
        <rFont val="Arial"/>
        <family val="2"/>
      </rPr>
      <t>Bronze:</t>
    </r>
    <r>
      <rPr>
        <sz val="10"/>
        <rFont val="Arial"/>
        <family val="2"/>
      </rPr>
      <t xml:space="preserve">  Earn at least 525 points by earning points in at least 7 objectives.</t>
    </r>
  </si>
  <si>
    <t xml:space="preserve">                                 Total points earned:         </t>
  </si>
  <si>
    <t xml:space="preserve">                                 No. of objectives with points:         </t>
  </si>
  <si>
    <t>We certify that these requirements have been completed:</t>
  </si>
  <si>
    <t>Date _____________________</t>
  </si>
  <si>
    <t>Committee chair _______________________________________________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</si>
  <si>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</si>
  <si>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</si>
  <si>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</si>
  <si>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</si>
  <si>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r>
      <rPr>
        <b/>
        <sz val="10"/>
        <rFont val="Arial"/>
        <family val="2"/>
      </rPr>
      <t>Silver:</t>
    </r>
    <r>
      <rPr>
        <sz val="10"/>
        <rFont val="Arial"/>
        <family val="2"/>
      </rPr>
      <t xml:space="preserve">  Earn at least 750 points by earning points in at least 8 objectives.</t>
    </r>
  </si>
  <si>
    <r>
      <rPr>
        <b/>
        <sz val="10"/>
        <rFont val="Calibri"/>
        <family val="2"/>
      </rPr>
      <t>Silver:</t>
    </r>
    <r>
      <rPr>
        <sz val="10"/>
        <rFont val="Calibri"/>
        <family val="2"/>
      </rPr>
      <t xml:space="preserve">  Earn at least 750 points by earning points in at least 8 objectives.</t>
    </r>
  </si>
  <si>
    <r>
      <t xml:space="preserve"> </t>
    </r>
    <r>
      <rPr>
        <i/>
        <sz val="10"/>
        <color indexed="8"/>
        <rFont val="Calibri"/>
        <family val="2"/>
      </rPr>
      <t>Date:</t>
    </r>
    <r>
      <rPr>
        <sz val="10"/>
        <color indexed="8"/>
        <rFont val="Calibri"/>
        <family val="2"/>
      </rPr>
      <t xml:space="preserve"> Troop committee adopted annual program plan &amp; budget</t>
    </r>
  </si>
  <si>
    <r>
      <t xml:space="preserve"> </t>
    </r>
    <r>
      <rPr>
        <i/>
        <sz val="10"/>
        <color indexed="8"/>
        <rFont val="Calibri"/>
        <family val="2"/>
      </rPr>
      <t>Date:</t>
    </r>
    <r>
      <rPr>
        <sz val="10"/>
        <color indexed="8"/>
        <rFont val="Calibri"/>
        <family val="2"/>
      </rPr>
      <t xml:space="preserve"> Planning meeting involving youth leaders</t>
    </r>
  </si>
  <si>
    <r>
      <rPr>
        <i/>
        <sz val="10"/>
        <color indexed="8"/>
        <rFont val="Calibri"/>
        <family val="2"/>
      </rPr>
      <t xml:space="preserve"> Count:</t>
    </r>
    <r>
      <rPr>
        <sz val="10"/>
        <color indexed="8"/>
        <rFont val="Calibri"/>
        <family val="2"/>
      </rPr>
      <t xml:space="preserve"> Number of Scouts from the troop serving as den chiefs</t>
    </r>
  </si>
  <si>
    <r>
      <rPr>
        <i/>
        <sz val="10"/>
        <color indexed="8"/>
        <rFont val="Calibri"/>
        <family val="2"/>
      </rPr>
      <t xml:space="preserve">    Date:</t>
    </r>
    <r>
      <rPr>
        <sz val="10"/>
        <color indexed="8"/>
        <rFont val="Calibri"/>
        <family val="2"/>
      </rPr>
      <t xml:space="preserve"> Overnight campout #1</t>
    </r>
  </si>
  <si>
    <r>
      <rPr>
        <i/>
        <sz val="10"/>
        <color indexed="8"/>
        <rFont val="Calibri"/>
        <family val="2"/>
      </rPr>
      <t xml:space="preserve">    Date:</t>
    </r>
    <r>
      <rPr>
        <sz val="10"/>
        <color indexed="8"/>
        <rFont val="Calibri"/>
        <family val="2"/>
      </rPr>
      <t xml:space="preserve"> Overnight campout #2</t>
    </r>
    <r>
      <rPr>
        <sz val="11"/>
        <color indexed="8"/>
        <rFont val="Calibri"/>
        <family val="2"/>
      </rPr>
      <t/>
    </r>
  </si>
  <si>
    <r>
      <rPr>
        <i/>
        <sz val="10"/>
        <color indexed="8"/>
        <rFont val="Calibri"/>
        <family val="2"/>
      </rPr>
      <t xml:space="preserve">    Date:</t>
    </r>
    <r>
      <rPr>
        <sz val="10"/>
        <color indexed="8"/>
        <rFont val="Calibri"/>
        <family val="2"/>
      </rPr>
      <t xml:space="preserve"> Overnight campout #3</t>
    </r>
    <r>
      <rPr>
        <sz val="11"/>
        <color indexed="8"/>
        <rFont val="Calibri"/>
        <family val="2"/>
      </rPr>
      <t/>
    </r>
  </si>
  <si>
    <r>
      <rPr>
        <i/>
        <sz val="10"/>
        <color indexed="8"/>
        <rFont val="Calibri"/>
        <family val="2"/>
      </rPr>
      <t xml:space="preserve">    Date:</t>
    </r>
    <r>
      <rPr>
        <sz val="10"/>
        <color indexed="8"/>
        <rFont val="Calibri"/>
        <family val="2"/>
      </rPr>
      <t xml:space="preserve"> Overnight campout #4</t>
    </r>
    <r>
      <rPr>
        <sz val="11"/>
        <color indexed="8"/>
        <rFont val="Calibri"/>
        <family val="2"/>
      </rPr>
      <t/>
    </r>
  </si>
  <si>
    <r>
      <rPr>
        <i/>
        <sz val="10"/>
        <color indexed="8"/>
        <rFont val="Calibri"/>
        <family val="2"/>
      </rPr>
      <t xml:space="preserve">    Date:</t>
    </r>
    <r>
      <rPr>
        <sz val="10"/>
        <color indexed="8"/>
        <rFont val="Calibri"/>
        <family val="2"/>
      </rPr>
      <t xml:space="preserve"> Overnight campout #5</t>
    </r>
    <r>
      <rPr>
        <sz val="11"/>
        <color indexed="8"/>
        <rFont val="Calibri"/>
        <family val="2"/>
      </rPr>
      <t/>
    </r>
  </si>
  <si>
    <r>
      <rPr>
        <i/>
        <sz val="10"/>
        <color indexed="8"/>
        <rFont val="Calibri"/>
        <family val="2"/>
      </rPr>
      <t xml:space="preserve">    Date:</t>
    </r>
    <r>
      <rPr>
        <sz val="10"/>
        <color indexed="8"/>
        <rFont val="Calibri"/>
        <family val="2"/>
      </rPr>
      <t xml:space="preserve"> Overnight campout #6</t>
    </r>
    <r>
      <rPr>
        <sz val="11"/>
        <color indexed="8"/>
        <rFont val="Calibri"/>
        <family val="2"/>
      </rPr>
      <t/>
    </r>
  </si>
  <si>
    <r>
      <rPr>
        <i/>
        <sz val="10"/>
        <color indexed="8"/>
        <rFont val="Calibri"/>
        <family val="2"/>
      </rPr>
      <t xml:space="preserve">    Date:</t>
    </r>
    <r>
      <rPr>
        <sz val="10"/>
        <color indexed="8"/>
        <rFont val="Calibri"/>
        <family val="2"/>
      </rPr>
      <t xml:space="preserve"> Overnight campout #7</t>
    </r>
    <r>
      <rPr>
        <sz val="11"/>
        <color indexed="8"/>
        <rFont val="Calibri"/>
        <family val="2"/>
      </rPr>
      <t/>
    </r>
  </si>
  <si>
    <r>
      <rPr>
        <i/>
        <sz val="10"/>
        <color indexed="8"/>
        <rFont val="Calibri"/>
        <family val="2"/>
      </rPr>
      <t xml:space="preserve">    Date:</t>
    </r>
    <r>
      <rPr>
        <sz val="10"/>
        <color indexed="8"/>
        <rFont val="Calibri"/>
        <family val="2"/>
      </rPr>
      <t xml:space="preserve"> Overnight campout #8</t>
    </r>
    <r>
      <rPr>
        <sz val="11"/>
        <color indexed="8"/>
        <rFont val="Calibri"/>
        <family val="2"/>
      </rPr>
      <t/>
    </r>
  </si>
  <si>
    <r>
      <rPr>
        <i/>
        <sz val="10"/>
        <color indexed="8"/>
        <rFont val="Calibri"/>
        <family val="2"/>
      </rPr>
      <t xml:space="preserve">    Date:</t>
    </r>
    <r>
      <rPr>
        <sz val="10"/>
        <color indexed="8"/>
        <rFont val="Calibri"/>
        <family val="2"/>
      </rPr>
      <t xml:space="preserve"> Overnight campout #9</t>
    </r>
    <r>
      <rPr>
        <sz val="11"/>
        <color indexed="8"/>
        <rFont val="Calibri"/>
        <family val="2"/>
      </rPr>
      <t/>
    </r>
  </si>
  <si>
    <r>
      <t xml:space="preserve"> </t>
    </r>
    <r>
      <rPr>
        <i/>
        <sz val="10"/>
        <color indexed="8"/>
        <rFont val="Calibri"/>
        <family val="2"/>
      </rPr>
      <t>Count:</t>
    </r>
    <r>
      <rPr>
        <sz val="10"/>
        <color indexed="8"/>
        <rFont val="Calibri"/>
        <family val="2"/>
      </rPr>
      <t xml:space="preserve"> Total number of overnight campouts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</si>
  <si>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</si>
  <si>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r>
      <rPr>
        <sz val="11"/>
        <color indexed="8"/>
        <rFont val="Calibri"/>
        <family val="2"/>
      </rPr>
      <t/>
    </r>
  </si>
  <si>
    <r>
      <rPr>
        <i/>
        <sz val="10"/>
        <color indexed="8"/>
        <rFont val="Calibri"/>
        <family val="2"/>
      </rPr>
      <t xml:space="preserve">    Date: </t>
    </r>
    <r>
      <rPr>
        <sz val="10"/>
        <color indexed="8"/>
        <rFont val="Calibri"/>
        <family val="2"/>
      </rPr>
      <t>Service project #5</t>
    </r>
    <r>
      <rPr>
        <sz val="11"/>
        <color indexed="8"/>
        <rFont val="Calibri"/>
        <family val="2"/>
      </rPr>
      <t/>
    </r>
  </si>
  <si>
    <r>
      <t xml:space="preserve"> </t>
    </r>
    <r>
      <rPr>
        <i/>
        <sz val="10"/>
        <color indexed="8"/>
        <rFont val="Calibri"/>
        <family val="2"/>
      </rPr>
      <t>Yes/No:</t>
    </r>
    <r>
      <rPr>
        <sz val="10"/>
        <color indexed="8"/>
        <rFont val="Calibri"/>
        <family val="2"/>
      </rPr>
      <t xml:space="preserve"> Troop has a senior patrol leader</t>
    </r>
  </si>
  <si>
    <r>
      <t xml:space="preserve"> </t>
    </r>
    <r>
      <rPr>
        <i/>
        <sz val="10"/>
        <color indexed="8"/>
        <rFont val="Calibri"/>
        <family val="2"/>
      </rPr>
      <t>Yes/No:</t>
    </r>
    <r>
      <rPr>
        <sz val="10"/>
        <color indexed="8"/>
        <rFont val="Calibri"/>
        <family val="2"/>
      </rPr>
      <t xml:space="preserve"> Troop conducts patrol leader training</t>
    </r>
  </si>
  <si>
    <r>
      <rPr>
        <i/>
        <sz val="10"/>
        <color indexed="8"/>
        <rFont val="Calibri"/>
        <family val="2"/>
      </rPr>
      <t xml:space="preserve"> Count:</t>
    </r>
    <r>
      <rPr>
        <sz val="10"/>
        <color indexed="8"/>
        <rFont val="Calibri"/>
        <family val="2"/>
      </rPr>
      <t xml:space="preserve"> Number of patrols</t>
    </r>
  </si>
  <si>
    <r>
      <rPr>
        <i/>
        <sz val="10"/>
        <color indexed="8"/>
        <rFont val="Calibri"/>
        <family val="2"/>
      </rPr>
      <t xml:space="preserve"> Count:</t>
    </r>
    <r>
      <rPr>
        <sz val="10"/>
        <color indexed="8"/>
        <rFont val="Calibri"/>
        <family val="2"/>
      </rPr>
      <t xml:space="preserve"> Number of patrols with patrol leaders</t>
    </r>
  </si>
  <si>
    <r>
      <rPr>
        <i/>
        <sz val="10"/>
        <color indexed="8"/>
        <rFont val="Calibri"/>
        <family val="2"/>
      </rPr>
      <t xml:space="preserve">    Date:</t>
    </r>
    <r>
      <rPr>
        <sz val="10"/>
        <color indexed="8"/>
        <rFont val="Calibri"/>
        <family val="2"/>
      </rPr>
      <t xml:space="preserve"> Patrol leaders' council meeting #1</t>
    </r>
  </si>
  <si>
    <r>
      <rPr>
        <i/>
        <sz val="10"/>
        <color indexed="8"/>
        <rFont val="Calibri"/>
        <family val="2"/>
      </rPr>
      <t xml:space="preserve">    Date:</t>
    </r>
    <r>
      <rPr>
        <sz val="10"/>
        <color indexed="8"/>
        <rFont val="Calibri"/>
        <family val="2"/>
      </rPr>
      <t xml:space="preserve"> Patrol leaders' council meeting #2</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</si>
  <si>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#3</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</si>
  <si>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#4</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</si>
  <si>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#5</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</si>
  <si>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#6</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</si>
  <si>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#7</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</si>
  <si>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#8</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</si>
  <si>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#9</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</si>
  <si>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#10</t>
    </r>
    <r>
      <rPr>
        <sz val="11"/>
        <color indexed="8"/>
        <rFont val="Calibri"/>
        <family val="2"/>
      </rPr>
      <t/>
    </r>
  </si>
  <si>
    <r>
      <t xml:space="preserve"> </t>
    </r>
    <r>
      <rPr>
        <i/>
        <sz val="10"/>
        <color indexed="8"/>
        <rFont val="Calibri"/>
        <family val="2"/>
      </rPr>
      <t>Count:</t>
    </r>
    <r>
      <rPr>
        <sz val="10"/>
        <color indexed="8"/>
        <rFont val="Calibri"/>
        <family val="2"/>
      </rPr>
      <t xml:space="preserve"> Total number of patrol leaders' council meetings</t>
    </r>
  </si>
  <si>
    <r>
      <t xml:space="preserve"> </t>
    </r>
    <r>
      <rPr>
        <i/>
        <sz val="10"/>
        <color indexed="8"/>
        <rFont val="Calibri"/>
        <family val="2"/>
      </rPr>
      <t>Yes/No:</t>
    </r>
    <r>
      <rPr>
        <sz val="10"/>
        <color indexed="8"/>
        <rFont val="Calibri"/>
        <family val="2"/>
      </rPr>
      <t xml:space="preserve"> At least 1 Scout attended an advanced training course</t>
    </r>
  </si>
  <si>
    <r>
      <t xml:space="preserve"> </t>
    </r>
    <r>
      <rPr>
        <i/>
        <sz val="10"/>
        <color indexed="8"/>
        <rFont val="Calibri"/>
        <family val="2"/>
      </rPr>
      <t>Yes/No:</t>
    </r>
    <r>
      <rPr>
        <sz val="10"/>
        <color indexed="8"/>
        <rFont val="Calibri"/>
        <family val="2"/>
      </rPr>
      <t xml:space="preserve"> Registered Scoutmaster</t>
    </r>
  </si>
  <si>
    <r>
      <rPr>
        <i/>
        <sz val="10"/>
        <color indexed="8"/>
        <rFont val="Calibri"/>
        <family val="2"/>
      </rPr>
      <t xml:space="preserve">    Date:</t>
    </r>
    <r>
      <rPr>
        <sz val="10"/>
        <color indexed="8"/>
        <rFont val="Calibri"/>
        <family val="2"/>
      </rPr>
      <t xml:space="preserve"> Court of Honor #1</t>
    </r>
  </si>
  <si>
    <r>
      <rPr>
        <i/>
        <sz val="10"/>
        <color indexed="8"/>
        <rFont val="Calibri"/>
        <family val="2"/>
      </rPr>
      <t xml:space="preserve">    Date:</t>
    </r>
    <r>
      <rPr>
        <sz val="10"/>
        <color indexed="8"/>
        <rFont val="Calibri"/>
        <family val="2"/>
      </rPr>
      <t xml:space="preserve"> Court of Honor #2</t>
    </r>
    <r>
      <rPr>
        <sz val="11"/>
        <color indexed="8"/>
        <rFont val="Calibri"/>
        <family val="2"/>
      </rPr>
      <t/>
    </r>
  </si>
  <si>
    <r>
      <rPr>
        <i/>
        <sz val="10"/>
        <color indexed="8"/>
        <rFont val="Calibri"/>
        <family val="2"/>
      </rPr>
      <t xml:space="preserve">    Date:</t>
    </r>
    <r>
      <rPr>
        <sz val="10"/>
        <color indexed="8"/>
        <rFont val="Calibri"/>
        <family val="2"/>
      </rPr>
      <t xml:space="preserve"> Court of Honor #3</t>
    </r>
    <r>
      <rPr>
        <sz val="11"/>
        <color indexed="8"/>
        <rFont val="Calibri"/>
        <family val="2"/>
      </rPr>
      <t/>
    </r>
  </si>
  <si>
    <r>
      <rPr>
        <i/>
        <sz val="10"/>
        <color indexed="8"/>
        <rFont val="Calibri"/>
        <family val="2"/>
      </rPr>
      <t xml:space="preserve"> Count:</t>
    </r>
    <r>
      <rPr>
        <sz val="10"/>
        <color indexed="8"/>
        <rFont val="Calibri"/>
        <family val="2"/>
      </rPr>
      <t xml:space="preserve"> Number of courts of honor</t>
    </r>
  </si>
  <si>
    <r>
      <t xml:space="preserve"> Count: </t>
    </r>
    <r>
      <rPr>
        <sz val="10"/>
        <color indexed="8"/>
        <rFont val="Calibri"/>
        <family val="2"/>
      </rPr>
      <t>Number of committee members</t>
    </r>
  </si>
  <si>
    <r>
      <rPr>
        <i/>
        <sz val="10"/>
        <color indexed="8"/>
        <rFont val="Calibri"/>
        <family val="2"/>
      </rPr>
      <t xml:space="preserve"> Count:</t>
    </r>
    <r>
      <rPr>
        <sz val="10"/>
        <color indexed="8"/>
        <rFont val="Calibri"/>
        <family val="2"/>
      </rPr>
      <t xml:space="preserve"> Number assistant Scoutmasters</t>
    </r>
  </si>
  <si>
    <t>Enter Troop Number</t>
  </si>
  <si>
    <t>Enter Troop Information …</t>
  </si>
  <si>
    <t>Scoumaster ___________________________________________________</t>
  </si>
  <si>
    <t>Our troop has completed online rechartering by the deadline in order to maintain continuity of our program.</t>
  </si>
  <si>
    <r>
      <rPr>
        <i/>
        <sz val="10"/>
        <color indexed="8"/>
        <rFont val="Calibri"/>
        <family val="2"/>
      </rPr>
      <t xml:space="preserve"> Percent: </t>
    </r>
    <r>
      <rPr>
        <sz val="10"/>
        <color indexed="8"/>
        <rFont val="Calibri"/>
        <family val="2"/>
      </rPr>
      <t>Assistant Scoutmasters completing training</t>
    </r>
  </si>
  <si>
    <t>5.  Sheets are designed to be printed without additional formatting.</t>
  </si>
  <si>
    <t>This form should be turned in to your unit commissioner or the Scout service center as directed by your council.</t>
  </si>
  <si>
    <t>Charter Years and Calendar Years</t>
  </si>
  <si>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</si>
  <si>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Count: </t>
    </r>
    <r>
      <rPr>
        <sz val="10"/>
        <color indexed="8"/>
        <rFont val="Calibri"/>
        <family val="2"/>
      </rPr>
      <t>Youth eligible to reregister</t>
    </r>
  </si>
  <si>
    <r>
      <t xml:space="preserve"> Percent: </t>
    </r>
    <r>
      <rPr>
        <sz val="10"/>
        <color indexed="8"/>
        <rFont val="Calibri"/>
        <family val="2"/>
      </rPr>
      <t>Retention rate</t>
    </r>
  </si>
  <si>
    <t>Select Recharter Date</t>
  </si>
  <si>
    <r>
      <rPr>
        <i/>
        <sz val="10"/>
        <color indexed="8"/>
        <rFont val="Calibri"/>
        <family val="2"/>
      </rPr>
      <t xml:space="preserve"> Percent:</t>
    </r>
    <r>
      <rPr>
        <sz val="10"/>
        <color indexed="8"/>
        <rFont val="Calibri"/>
        <family val="2"/>
      </rPr>
      <t xml:space="preserve"> Advancement rate</t>
    </r>
  </si>
  <si>
    <r>
      <rPr>
        <i/>
        <sz val="10"/>
        <color indexed="8"/>
        <rFont val="Calibri"/>
        <family val="2"/>
      </rPr>
      <t xml:space="preserve"> Yes/No:</t>
    </r>
    <r>
      <rPr>
        <sz val="10"/>
        <color indexed="8"/>
        <rFont val="Calibri"/>
        <family val="2"/>
      </rPr>
      <t xml:space="preserve"> Scoutmaster has completed position-specific training</t>
    </r>
  </si>
  <si>
    <r>
      <t xml:space="preserve"> </t>
    </r>
    <r>
      <rPr>
        <i/>
        <sz val="10"/>
        <color indexed="8"/>
        <rFont val="Calibri"/>
        <family val="2"/>
      </rPr>
      <t>Yes/No:</t>
    </r>
    <r>
      <rPr>
        <sz val="10"/>
        <color indexed="8"/>
        <rFont val="Calibri"/>
        <family val="2"/>
      </rPr>
      <t xml:space="preserve"> At least one person has attended advanced training</t>
    </r>
  </si>
  <si>
    <r>
      <rPr>
        <b/>
        <sz val="10"/>
        <rFont val="Arial"/>
        <family val="2"/>
      </rPr>
      <t>Gold:</t>
    </r>
    <r>
      <rPr>
        <sz val="10"/>
        <rFont val="Arial"/>
        <family val="2"/>
      </rPr>
      <t xml:space="preserve">  Earn at least 1,000 points by earning points in at least 8 objectives and at least bronze in #6 or #7.</t>
    </r>
  </si>
  <si>
    <r>
      <rPr>
        <b/>
        <sz val="10"/>
        <rFont val="Calibri"/>
        <family val="2"/>
      </rPr>
      <t>Gold:</t>
    </r>
    <r>
      <rPr>
        <sz val="10"/>
        <rFont val="Calibri"/>
        <family val="2"/>
      </rPr>
      <t xml:space="preserve">  Earn at least 1,000 points by earning points in at least 8 objectives and at least bronze in #6 or #7.</t>
    </r>
  </si>
  <si>
    <t>"The BSA method for annual planning and continuous improvement"</t>
  </si>
  <si>
    <r>
      <rPr>
        <i/>
        <sz val="10"/>
        <color indexed="8"/>
        <rFont val="Calibri"/>
        <family val="2"/>
      </rPr>
      <t xml:space="preserve"> Count:</t>
    </r>
    <r>
      <rPr>
        <sz val="10"/>
        <color indexed="8"/>
        <rFont val="Calibri"/>
        <family val="2"/>
      </rPr>
      <t xml:space="preserve"> Scouts advancing one or more ranks during the year</t>
    </r>
  </si>
  <si>
    <r>
      <rPr>
        <i/>
        <sz val="10"/>
        <color indexed="8"/>
        <rFont val="Calibri"/>
        <family val="2"/>
      </rPr>
      <t xml:space="preserve"> Count:</t>
    </r>
    <r>
      <rPr>
        <sz val="10"/>
        <color indexed="8"/>
        <rFont val="Calibri"/>
        <family val="2"/>
      </rPr>
      <t xml:space="preserve"> Number of Scouts registered on June 30</t>
    </r>
  </si>
  <si>
    <r>
      <rPr>
        <i/>
        <sz val="10"/>
        <color indexed="8"/>
        <rFont val="Calibri"/>
        <family val="2"/>
      </rPr>
      <t xml:space="preserve"> Count:</t>
    </r>
    <r>
      <rPr>
        <sz val="10"/>
        <color indexed="8"/>
        <rFont val="Calibri"/>
        <family val="2"/>
      </rPr>
      <t xml:space="preserve"> Number of Scouts attending any long-term camp</t>
    </r>
  </si>
  <si>
    <t xml:space="preserve"> BeAScout Pin Current</t>
  </si>
  <si>
    <t>A</t>
  </si>
  <si>
    <t>B</t>
  </si>
  <si>
    <t>D</t>
  </si>
  <si>
    <t>E</t>
  </si>
  <si>
    <r>
      <t xml:space="preserve"> </t>
    </r>
    <r>
      <rPr>
        <i/>
        <sz val="10"/>
        <color indexed="8"/>
        <rFont val="Calibri"/>
        <family val="2"/>
      </rPr>
      <t>Yes/No:</t>
    </r>
    <r>
      <rPr>
        <sz val="10"/>
        <color indexed="8"/>
        <rFont val="Calibri"/>
        <family val="2"/>
      </rPr>
      <t xml:space="preserve"> Troop records service projects and hours in Internet Advancement</t>
    </r>
  </si>
  <si>
    <t>H</t>
  </si>
  <si>
    <t>J</t>
  </si>
  <si>
    <t xml:space="preserve">    Less: Youth 18 years or older by end of charter year (age-outs)</t>
  </si>
  <si>
    <r>
      <t xml:space="preserve">  </t>
    </r>
    <r>
      <rPr>
        <i/>
        <sz val="10"/>
        <color indexed="8"/>
        <rFont val="Calibri"/>
        <family val="2"/>
      </rPr>
      <t xml:space="preserve"> Less: Youth dropped at this year's recharter</t>
    </r>
  </si>
  <si>
    <r>
      <rPr>
        <i/>
        <sz val="10"/>
        <rFont val="Calibri"/>
        <family val="2"/>
      </rPr>
      <t xml:space="preserve"> Date:</t>
    </r>
    <r>
      <rPr>
        <sz val="10"/>
        <rFont val="Calibri"/>
        <family val="2"/>
      </rPr>
      <t xml:space="preserve"> Joint activity with a pack or Webelos den #1 (Live or virtual)</t>
    </r>
  </si>
  <si>
    <r>
      <rPr>
        <i/>
        <sz val="10"/>
        <rFont val="Calibri"/>
        <family val="2"/>
      </rPr>
      <t xml:space="preserve"> Date:</t>
    </r>
    <r>
      <rPr>
        <sz val="10"/>
        <rFont val="Calibri"/>
        <family val="2"/>
      </rPr>
      <t xml:space="preserve"> Joint activity with a pack or Webelos den #2 (Live or virtual)</t>
    </r>
  </si>
  <si>
    <r>
      <rPr>
        <i/>
        <sz val="10"/>
        <rFont val="Calibri"/>
        <family val="2"/>
      </rPr>
      <t xml:space="preserve"> Date: </t>
    </r>
    <r>
      <rPr>
        <sz val="10"/>
        <rFont val="Calibri"/>
        <family val="2"/>
      </rPr>
      <t>Troop recruitment activity or personalized invitation</t>
    </r>
  </si>
  <si>
    <r>
      <t xml:space="preserve"> Check if any formal transfers </t>
    </r>
    <r>
      <rPr>
        <b/>
        <sz val="10"/>
        <color theme="1"/>
        <rFont val="Calibri"/>
        <family val="2"/>
      </rPr>
      <t>in or out</t>
    </r>
    <r>
      <rPr>
        <sz val="10"/>
        <color theme="1"/>
        <rFont val="Calibri"/>
        <family val="2"/>
      </rPr>
      <t xml:space="preserve"> of your Unit (Except Webelos Scouts coming in)</t>
    </r>
  </si>
  <si>
    <t>K</t>
  </si>
  <si>
    <t>G</t>
  </si>
  <si>
    <t>C</t>
  </si>
  <si>
    <r>
      <rPr>
        <i/>
        <sz val="10"/>
        <rFont val="Calibri"/>
        <family val="2"/>
      </rPr>
      <t xml:space="preserve"> Count:</t>
    </r>
    <r>
      <rPr>
        <sz val="10"/>
        <rFont val="Calibri"/>
        <family val="2"/>
      </rPr>
      <t xml:space="preserve"> Webelos/AoLs joining the troop during the year</t>
    </r>
  </si>
  <si>
    <t xml:space="preserve">    Plus: Webelos/AoLs transfers from packs during the year</t>
  </si>
  <si>
    <r>
      <t xml:space="preserve">Webelos-to-Scout transition:  </t>
    </r>
    <r>
      <rPr>
        <sz val="10"/>
        <rFont val="Arial"/>
        <family val="2"/>
      </rPr>
      <t>Will have an effective plan to recruit Webelos Scouts into the troop.</t>
    </r>
  </si>
  <si>
    <r>
      <rPr>
        <b/>
        <sz val="10"/>
        <color indexed="8"/>
        <rFont val="Calibri"/>
        <family val="2"/>
      </rPr>
      <t xml:space="preserve">Retention:  </t>
    </r>
    <r>
      <rPr>
        <sz val="10"/>
        <color indexed="8"/>
        <rFont val="Calibri"/>
        <family val="2"/>
      </rPr>
      <t>Will retain a        significant percentage of youth members.</t>
    </r>
  </si>
  <si>
    <r>
      <rPr>
        <b/>
        <sz val="10"/>
        <color indexed="8"/>
        <rFont val="Calibri"/>
        <family val="2"/>
      </rPr>
      <t>Webelos-to-Scout transition:</t>
    </r>
    <r>
      <rPr>
        <sz val="10"/>
        <color indexed="8"/>
        <rFont val="Calibri"/>
        <family val="2"/>
      </rPr>
      <t xml:space="preserve">  Will have an effective plan to recruit Webelos Scouts into the troop.</t>
    </r>
  </si>
  <si>
    <r>
      <t xml:space="preserve"> </t>
    </r>
    <r>
      <rPr>
        <i/>
        <sz val="10"/>
        <color indexed="8"/>
        <rFont val="Calibri"/>
        <family val="2"/>
      </rPr>
      <t>Yes/No:</t>
    </r>
    <r>
      <rPr>
        <sz val="10"/>
        <color indexed="8"/>
        <rFont val="Calibri"/>
        <family val="2"/>
      </rPr>
      <t xml:space="preserve"> Recruited at least one new leader</t>
    </r>
  </si>
  <si>
    <r>
      <t xml:space="preserve">    Plus: New Scouts joining </t>
    </r>
    <r>
      <rPr>
        <b/>
        <i/>
        <sz val="10"/>
        <color rgb="FFFF0000"/>
        <rFont val="Calibri"/>
        <family val="2"/>
      </rPr>
      <t xml:space="preserve">during the charter year </t>
    </r>
    <r>
      <rPr>
        <sz val="10"/>
        <rFont val="Calibri"/>
        <family val="2"/>
      </rPr>
      <t>(not AoLs)</t>
    </r>
  </si>
  <si>
    <r>
      <t>3.  Sources of data include unit records, numbers provided by your council, and My.Scouting</t>
    </r>
    <r>
      <rPr>
        <strike/>
        <sz val="11"/>
        <color indexed="10"/>
        <rFont val="Calibri"/>
        <family val="2"/>
      </rPr>
      <t xml:space="preserve"> </t>
    </r>
    <r>
      <rPr>
        <sz val="11"/>
        <color theme="1"/>
        <rFont val="Calibri"/>
        <family val="2"/>
      </rPr>
      <t>and Scoutbook.</t>
    </r>
  </si>
  <si>
    <t>2023 Journey to Excellence Troop Spreadsheet</t>
  </si>
  <si>
    <t>1.  Spreadsheet is designed for all troops in the year ending December 31, 2023.</t>
  </si>
  <si>
    <t>4.  With a few exceptions, dates entered need to be in the range of January 1, 2023 through December 31, 2023.</t>
  </si>
  <si>
    <t xml:space="preserve">Most criteria will be measured for the calendar year.  For troops that recharter in December, the retention numbers will be determined from the number of youth who are reregistered from the charter expiring on 12/31/23.  However, if a unit recharters on another month, retention will be determined at that time, consistent with its charter cycle.
Journey to Excellence measures are not intended to be cumbersome for any unit.  A troop may want to track and record meetings and othe functions throughout the year, rather than trying to tabulate everything at the end.
</t>
  </si>
  <si>
    <r>
      <rPr>
        <i/>
        <sz val="10"/>
        <color indexed="8"/>
        <rFont val="Calibri"/>
        <family val="2"/>
      </rPr>
      <t xml:space="preserve"> Count:</t>
    </r>
    <r>
      <rPr>
        <sz val="10"/>
        <color indexed="8"/>
        <rFont val="Calibri"/>
        <family val="2"/>
      </rPr>
      <t xml:space="preserve"> Current membership as of 12/31/2023</t>
    </r>
  </si>
  <si>
    <r>
      <rPr>
        <b/>
        <sz val="10"/>
        <color indexed="8"/>
        <rFont val="Calibri"/>
        <family val="2"/>
      </rPr>
      <t>Building Scouting:</t>
    </r>
    <r>
      <rPr>
        <sz val="10"/>
        <color indexed="8"/>
        <rFont val="Calibri"/>
        <family val="2"/>
      </rPr>
      <t xml:space="preserve">  Will recruit new youth into
the troop in order to grow membership that is
representative of the diversity of the community.</t>
    </r>
  </si>
  <si>
    <t>HIDE THIS LINE</t>
  </si>
  <si>
    <r>
      <rPr>
        <b/>
        <sz val="10"/>
        <color indexed="8"/>
        <rFont val="Calibri"/>
        <family val="2"/>
      </rPr>
      <t xml:space="preserve">Advancement: </t>
    </r>
    <r>
      <rPr>
        <sz val="10"/>
        <color indexed="8"/>
        <rFont val="Calibri"/>
        <family val="2"/>
      </rPr>
      <t xml:space="preserve"> Will achieve a high percentage of Scouts BSA members earning rank advancements.</t>
    </r>
  </si>
  <si>
    <r>
      <rPr>
        <b/>
        <sz val="10"/>
        <rFont val="Calibri"/>
        <family val="2"/>
      </rPr>
      <t>Short-term camping:</t>
    </r>
    <r>
      <rPr>
        <sz val="10"/>
        <rFont val="Calibri"/>
        <family val="2"/>
      </rPr>
      <t xml:space="preserve">  Will conduct short-term or weekend campouts throughout the year.</t>
    </r>
  </si>
  <si>
    <r>
      <rPr>
        <b/>
        <sz val="10"/>
        <rFont val="Calibri"/>
        <family val="2"/>
      </rPr>
      <t xml:space="preserve">Long-term camping: </t>
    </r>
    <r>
      <rPr>
        <sz val="10"/>
        <rFont val="Calibri"/>
        <family val="2"/>
      </rPr>
      <t xml:space="preserve"> Will participate in long-term camp with a majority of the troop in attendance.</t>
    </r>
  </si>
  <si>
    <r>
      <rPr>
        <b/>
        <sz val="10"/>
        <rFont val="Calibri"/>
        <family val="2"/>
      </rPr>
      <t>Service projects:</t>
    </r>
    <r>
      <rPr>
        <sz val="10"/>
        <rFont val="Calibri"/>
        <family val="2"/>
      </rPr>
      <t xml:space="preserve">  Participate in service projects, with at least one benefiting the chartered organization.</t>
    </r>
  </si>
  <si>
    <r>
      <rPr>
        <b/>
        <sz val="10"/>
        <rFont val="Calibri"/>
        <family val="2"/>
      </rPr>
      <t xml:space="preserve">Patrol method: </t>
    </r>
    <r>
      <rPr>
        <sz val="10"/>
        <rFont val="Calibri"/>
        <family val="2"/>
      </rPr>
      <t xml:space="preserve"> Will use the patrol method to develop youth leaders.</t>
    </r>
  </si>
  <si>
    <r>
      <rPr>
        <b/>
        <sz val="10"/>
        <rFont val="Calibri"/>
        <family val="2"/>
      </rPr>
      <t xml:space="preserve">Leadership and family engagement: </t>
    </r>
    <r>
      <rPr>
        <sz val="10"/>
        <rFont val="Calibri"/>
        <family val="2"/>
      </rPr>
      <t>The troop is
proactive in recruiting sufficient leaders and
communicates regularly with parents.</t>
    </r>
  </si>
  <si>
    <r>
      <rPr>
        <b/>
        <sz val="10"/>
        <rFont val="Calibri"/>
        <family val="2"/>
      </rPr>
      <t>Trained leadership</t>
    </r>
    <r>
      <rPr>
        <sz val="10"/>
        <rFont val="Calibri"/>
        <family val="2"/>
      </rPr>
      <t>: Will have trained and engaged leaders at all levels.  All leaders are required to have youth protection training.</t>
    </r>
  </si>
  <si>
    <t>2023 Scouting's Journey to Excellence</t>
  </si>
  <si>
    <t>Will achieve Bronze, plus troop
will conduct a planning meeting
involving youth leaders for
following program year.</t>
  </si>
  <si>
    <t>Will achieve Silver, plus troop
committee meets at least six
times during the year to review
program plans and finances.</t>
  </si>
  <si>
    <t>Will have an annual program
plan and budget adopted by
the troop committee.</t>
  </si>
  <si>
    <r>
      <t xml:space="preserve">Planning and budget: </t>
    </r>
    <r>
      <rPr>
        <sz val="10"/>
        <rFont val="Arial"/>
        <family val="2"/>
      </rPr>
      <t xml:space="preserve"> Will have a program plan
and budget that is regularly reviewed by the
committee, and it follows BSA policies related
to fundraising.</t>
    </r>
    <r>
      <rPr>
        <b/>
        <sz val="10"/>
        <rFont val="Arial"/>
        <family val="2"/>
      </rPr>
      <t xml:space="preserve"> </t>
    </r>
    <r>
      <rPr>
        <sz val="10"/>
        <rFont val="Arial"/>
        <family val="2"/>
      </rPr>
      <t>(In person meetings are preferred;
virtual/remote meetings are acceptable.)</t>
    </r>
  </si>
  <si>
    <r>
      <rPr>
        <b/>
        <sz val="10"/>
        <rFont val="Calibri"/>
        <family val="2"/>
      </rPr>
      <t xml:space="preserve">Planning and budget: </t>
    </r>
    <r>
      <rPr>
        <sz val="10"/>
        <rFont val="Calibri"/>
        <family val="2"/>
      </rPr>
      <t xml:space="preserve"> Will have a program plan and budget that is regularly reviewed by the committee, and following BSA policies related to fundraising. (In person meetings are preferred; virtual/remote meetings are acceptable.)</t>
    </r>
  </si>
  <si>
    <r>
      <t xml:space="preserve">Building Scouting:  </t>
    </r>
    <r>
      <rPr>
        <sz val="10"/>
        <rFont val="Arial"/>
        <family val="2"/>
      </rPr>
      <t>Will ecruit new youth into
the troop in order to grow membership that is
representative of the diversity of the community.</t>
    </r>
  </si>
  <si>
    <t>Will have membership growth plan that includes a recruitment
activity or will use a
personalized invitation method
and have a current pin on
beascout.org.</t>
  </si>
  <si>
    <t>Will achieve Bronze, and either
increase youth members by 5%
or will have at least 25 members.</t>
  </si>
  <si>
    <t>Will achieve Silver, and either 
increase youth members by
10% or will have at least 35
members.</t>
  </si>
  <si>
    <t>Will reregister 75% of eligible
members.</t>
  </si>
  <si>
    <t>Will reregister 80% of eligible
members.</t>
  </si>
  <si>
    <t>Will reregister 85% of eligible
members.</t>
  </si>
  <si>
    <t>With a pack or Webelos den, will
hold two joint activities.</t>
  </si>
  <si>
    <t>Will achieve Bronze, plus
register two Webelos Scouts.</t>
  </si>
  <si>
    <t>Will achieve Bronze, plus
will provide at least one den chief
to a pack and register five
Webelos Scouts.</t>
  </si>
  <si>
    <r>
      <t xml:space="preserve">Advancement:  </t>
    </r>
    <r>
      <rPr>
        <sz val="10"/>
        <rFont val="Arial"/>
        <family val="2"/>
      </rPr>
      <t>Will achieve a high percentage
of Scouts BSA members earning rank advancements.</t>
    </r>
  </si>
  <si>
    <r>
      <t xml:space="preserve">Retention: </t>
    </r>
    <r>
      <rPr>
        <sz val="10"/>
        <rFont val="Arial"/>
        <family val="2"/>
      </rPr>
      <t xml:space="preserve"> Will retain a significant percentage of
 youth members.</t>
    </r>
  </si>
  <si>
    <t xml:space="preserve"> 40% of Scouts BSA members
will advance one rank during
the year.</t>
  </si>
  <si>
    <t xml:space="preserve"> 50% of Scouts BSA members
will advance one rank during
the year.</t>
  </si>
  <si>
    <t xml:space="preserve"> 60% of Scouts BSA members
will advance one rank during
the year.</t>
  </si>
  <si>
    <r>
      <t xml:space="preserve">Short-term camping:  </t>
    </r>
    <r>
      <rPr>
        <sz val="10"/>
        <rFont val="Arial"/>
        <family val="2"/>
      </rPr>
      <t>Will conduct short-term or
weekend campouts throughout the year.</t>
    </r>
    <r>
      <rPr>
        <b/>
        <sz val="10"/>
        <rFont val="Arial"/>
        <family val="2"/>
      </rPr>
      <t/>
    </r>
  </si>
  <si>
    <t>Will conduct four short-term
overnight campouts.</t>
  </si>
  <si>
    <t>Will conduct seven short-term
overnight campouts.</t>
  </si>
  <si>
    <t>Will conduct nine short-term
overnight campouts.</t>
  </si>
  <si>
    <r>
      <t xml:space="preserve">Long-term camping:  </t>
    </r>
    <r>
      <rPr>
        <sz val="10"/>
        <rFont val="Arial"/>
        <family val="2"/>
      </rPr>
      <t>Will participate in long-term
camp with a majority of the troop in attendance.</t>
    </r>
  </si>
  <si>
    <t>The troop will participate in a
long-term camp.</t>
  </si>
  <si>
    <t>60% of Scouts will attend a long-
term camp.</t>
  </si>
  <si>
    <t>70% of Scouts will attend a long-
term camp.</t>
  </si>
  <si>
    <r>
      <t xml:space="preserve">Service projects: </t>
    </r>
    <r>
      <rPr>
        <sz val="10"/>
        <rFont val="Arial"/>
        <family val="2"/>
      </rPr>
      <t xml:space="preserve"> Participate in service projects,
with at least one benefiting the chartered
organization.</t>
    </r>
    <r>
      <rPr>
        <b/>
        <sz val="10"/>
        <rFont val="Arial"/>
        <family val="2"/>
      </rPr>
      <t/>
    </r>
  </si>
  <si>
    <t>Will participate in three service
projects and enter the hours on
Scoutbook/Internet
Advancement.</t>
  </si>
  <si>
    <t>Will participate in four service
projects and enter the hours on
Scoutbook/Internet
Advancement.</t>
  </si>
  <si>
    <t>Will participate in five service
projects and enter the hours on
Scoutbook/Internet
Advancement.</t>
  </si>
  <si>
    <r>
      <t xml:space="preserve">Patrol method: </t>
    </r>
    <r>
      <rPr>
        <sz val="10"/>
        <rFont val="Arial"/>
        <family val="2"/>
      </rPr>
      <t xml:space="preserve"> Will use the patrol method to
develop youth leaders.</t>
    </r>
  </si>
  <si>
    <t>The troop will have patrols, and
each have a patrol leader.
There will be an SPL, if more
than one patrol. The PLC will
meet at least four times a year.</t>
  </si>
  <si>
    <t>Will achieve Bronze, plus PLC
will meet at least six times.  The
troop will conduct patrol leader
training.</t>
  </si>
  <si>
    <t>Will achieve Silver, plus PLC meets
at least ten times. At least one
Scout will have attended an
advanced training course, such
as NYLT or Order of the Arrow
Conference.</t>
  </si>
  <si>
    <r>
      <t xml:space="preserve">Leadership and family engagement: </t>
    </r>
    <r>
      <rPr>
        <sz val="10"/>
        <rFont val="Arial"/>
        <family val="2"/>
      </rPr>
      <t>The troop is
proactive in recruiting sufficient leaders and
will communicate regularly with parents.</t>
    </r>
  </si>
  <si>
    <t>Have at least one registered
assistant Scoutmaster.</t>
  </si>
  <si>
    <t>Achieve Bronze, plus the troop
holds two courts of honor,
where troop plans are reviewed
with parents.</t>
  </si>
  <si>
    <t>Achieve Bronze, plus the troop
holds three courts of honor, where troop plans are reviewed
with parents.</t>
  </si>
  <si>
    <r>
      <t xml:space="preserve">Trained leadership: </t>
    </r>
    <r>
      <rPr>
        <sz val="10"/>
        <rFont val="Arial"/>
        <family val="2"/>
      </rPr>
      <t>Have trained and engaged
leaders at all levels.  All leaders are required to
have youth protection training.</t>
    </r>
  </si>
  <si>
    <t xml:space="preserve">Scoutmaster or an assistant
Scoutmaster will have
completed position-specific
training. </t>
  </si>
  <si>
    <t>Will achieve Bronze, plus the
Scoutmaster and 60% of
assistants will have completed
position-specific training or, if
new, will complete within three
months of joining.</t>
  </si>
  <si>
    <t>Will achieve Silver, plus two-
thirds of active committee
members will have completed
position-specific training and at
least one person will have
attended an advanced training
course involving a total of at least
5 days.  Will register at least
one new leader.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</si>
</sst>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d/yy;@"/>
    <numFmt numFmtId="165" formatCode="0.0%"/>
    <numFmt numFmtId="166" formatCode="0.0%;[Red]\-0.0%"/>
    <numFmt numFmtId="167" formatCode="[$-409]mmmm\ d\,\ yyyy;@"/>
  </numFmts>
  <fonts count="45"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charset val="2"/>
    </font>
    <font>
      <b/>
      <sz val="15"/>
      <name val="Arial"/>
      <family val="2"/>
    </font>
    <font>
      <i/>
      <sz val="10"/>
      <name val="Arial"/>
      <family val="2"/>
    </font>
    <font>
      <sz val="10"/>
      <name val="Arial"/>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4"/>
      <color theme="1"/>
      <name val="Calibri"/>
      <family val="2"/>
    </font>
    <font>
      <b/>
      <i/>
      <sz val="12"/>
      <color theme="1"/>
      <name val="Calibri"/>
      <family val="2"/>
    </font>
    <font>
      <b/>
      <sz val="10"/>
      <color rgb="FFFF0000"/>
      <name val="Arial"/>
      <family val="2"/>
    </font>
    <font>
      <b/>
      <sz val="10"/>
      <color theme="0"/>
      <name val="Calibri"/>
      <family val="2"/>
    </font>
    <font>
      <b/>
      <sz val="10"/>
      <color theme="1"/>
      <name val="Calibri"/>
      <family val="2"/>
    </font>
    <font>
      <b/>
      <sz val="12"/>
      <color theme="1"/>
      <name val="Calibri"/>
      <family val="2"/>
    </font>
    <font>
      <b/>
      <i/>
      <sz val="14"/>
      <color rgb="FFC00000"/>
      <name val="Arial Black"/>
      <family val="2"/>
    </font>
    <font>
      <i/>
      <sz val="18"/>
      <color rgb="FFC00000"/>
      <name val="Arial Black"/>
      <family val="2"/>
    </font>
    <font>
      <i/>
      <sz val="16"/>
      <color rgb="FFC00000"/>
      <name val="Arial Black"/>
      <family val="2"/>
    </font>
    <font>
      <sz val="8"/>
      <color rgb="FF000000"/>
      <name val="Segoe UI"/>
      <family val="2"/>
    </font>
    <font>
      <sz val="8"/>
      <color rgb="FF000000"/>
      <name val="Tahoma"/>
      <family val="2"/>
    </font>
    <font>
      <i/>
      <sz val="10"/>
      <name val="Calibri"/>
      <family val="2"/>
    </font>
    <font>
      <b/>
      <i/>
      <sz val="10"/>
      <color rgb="FFFF0000"/>
      <name val="Calibri"/>
      <family val="2"/>
    </font>
    <font>
      <strike/>
      <sz val="11"/>
      <color indexed="10"/>
      <name val="Calibri"/>
      <family val="2"/>
    </font>
    <font>
      <b/>
      <sz val="11"/>
      <color rgb="FFFF0000"/>
      <name val="Calibri"/>
      <family val="2"/>
    </font>
  </fonts>
  <fills count="6">
    <fill>
      <patternFill patternType="none"/>
    </fill>
    <fill>
      <patternFill patternType="gray125"/>
    </fill>
    <fill>
      <patternFill patternType="solid">
        <fgColor rgb="FFC0000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9"/>
      </left>
      <right style="medium">
        <color indexed="64"/>
      </right>
      <top style="medium">
        <color indexed="64"/>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4">
    <xf numFmtId="0" fontId="0" fillId="0" borderId="0"/>
    <xf numFmtId="0" fontId="9" fillId="0" borderId="0"/>
    <xf numFmtId="0" fontId="18" fillId="0" borderId="0"/>
    <xf numFmtId="9" fontId="9" fillId="0" borderId="0" applyFont="0" applyFill="0" applyBorder="0" applyAlignment="0" applyProtection="0"/>
  </cellStyleXfs>
  <cellXfs count="158">
    <xf numFmtId="0" fontId="0" fillId="0" borderId="0" xfId="0"/>
    <xf numFmtId="164" fontId="21" fillId="0" borderId="1" xfId="0" applyNumberFormat="1" applyFont="1" applyBorder="1" applyAlignment="1" applyProtection="1">
      <alignment horizontal="center" vertical="center"/>
      <protection locked="0"/>
    </xf>
    <xf numFmtId="3" fontId="21" fillId="0" borderId="1" xfId="0" applyNumberFormat="1" applyFont="1" applyBorder="1" applyAlignment="1" applyProtection="1">
      <alignment horizontal="center" vertical="center"/>
      <protection locked="0"/>
    </xf>
    <xf numFmtId="0" fontId="4" fillId="0" borderId="0" xfId="0" applyFont="1"/>
    <xf numFmtId="0" fontId="7" fillId="0" borderId="0" xfId="0" applyFont="1"/>
    <xf numFmtId="0" fontId="21" fillId="0" borderId="0" xfId="0" applyFont="1"/>
    <xf numFmtId="0" fontId="22" fillId="0" borderId="0" xfId="0" applyFont="1"/>
    <xf numFmtId="0" fontId="0" fillId="0" borderId="2" xfId="0" applyBorder="1"/>
    <xf numFmtId="0" fontId="0" fillId="0" borderId="3" xfId="0" applyBorder="1"/>
    <xf numFmtId="0" fontId="4" fillId="0" borderId="4" xfId="0" applyFont="1" applyBorder="1"/>
    <xf numFmtId="0" fontId="21" fillId="0" borderId="5" xfId="0" applyFont="1" applyBorder="1"/>
    <xf numFmtId="0" fontId="19" fillId="0" borderId="6" xfId="0" applyFont="1" applyBorder="1"/>
    <xf numFmtId="0" fontId="21" fillId="0" borderId="0" xfId="0" applyFont="1" applyAlignment="1">
      <alignment horizontal="center" vertical="center"/>
    </xf>
    <xf numFmtId="1" fontId="21" fillId="0" borderId="1" xfId="0" applyNumberFormat="1" applyFont="1" applyBorder="1" applyAlignment="1">
      <alignment horizontal="center" vertical="center"/>
    </xf>
    <xf numFmtId="0" fontId="0" fillId="0" borderId="7" xfId="0" applyBorder="1"/>
    <xf numFmtId="0" fontId="0" fillId="0" borderId="8" xfId="0" applyBorder="1"/>
    <xf numFmtId="0" fontId="19" fillId="0" borderId="9" xfId="0" applyFont="1" applyBorder="1"/>
    <xf numFmtId="0" fontId="4" fillId="0" borderId="6" xfId="0" applyFont="1" applyBorder="1"/>
    <xf numFmtId="3" fontId="21" fillId="0" borderId="1" xfId="0" applyNumberFormat="1" applyFont="1" applyBorder="1" applyAlignment="1">
      <alignment horizontal="center" vertical="center"/>
    </xf>
    <xf numFmtId="166" fontId="21" fillId="0" borderId="1" xfId="0" applyNumberFormat="1" applyFont="1" applyBorder="1" applyAlignment="1">
      <alignment horizontal="center" vertical="center"/>
    </xf>
    <xf numFmtId="0" fontId="2" fillId="0" borderId="5" xfId="0" applyFont="1" applyBorder="1"/>
    <xf numFmtId="165" fontId="21" fillId="0" borderId="1" xfId="0" applyNumberFormat="1" applyFont="1" applyBorder="1" applyAlignment="1">
      <alignment horizontal="center"/>
    </xf>
    <xf numFmtId="0" fontId="21" fillId="0" borderId="0" xfId="0" applyFont="1" applyAlignment="1">
      <alignment horizontal="center"/>
    </xf>
    <xf numFmtId="0" fontId="2" fillId="0" borderId="0" xfId="0" applyFont="1"/>
    <xf numFmtId="1" fontId="21" fillId="0" borderId="0" xfId="0" applyNumberFormat="1" applyFont="1" applyAlignment="1">
      <alignment horizontal="center"/>
    </xf>
    <xf numFmtId="0" fontId="23" fillId="0" borderId="0" xfId="0" applyFont="1"/>
    <xf numFmtId="0" fontId="19" fillId="0" borderId="0" xfId="0" applyFont="1"/>
    <xf numFmtId="0" fontId="21" fillId="0" borderId="10" xfId="0" applyFont="1" applyBorder="1" applyAlignment="1">
      <alignment horizontal="center" vertical="center"/>
    </xf>
    <xf numFmtId="0" fontId="8"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center" wrapText="1"/>
    </xf>
    <xf numFmtId="0" fontId="26" fillId="0" borderId="0" xfId="0" applyFont="1" applyAlignment="1">
      <alignment horizontal="left"/>
    </xf>
    <xf numFmtId="3" fontId="27" fillId="0" borderId="8" xfId="0" applyNumberFormat="1" applyFont="1" applyBorder="1" applyAlignment="1">
      <alignment horizontal="center" wrapText="1"/>
    </xf>
    <xf numFmtId="0" fontId="24" fillId="0" borderId="0" xfId="0" applyFont="1" applyAlignment="1">
      <alignment horizontal="center" wrapText="1"/>
    </xf>
    <xf numFmtId="0" fontId="24" fillId="0" borderId="0" xfId="0" applyFont="1" applyAlignment="1">
      <alignment wrapText="1"/>
    </xf>
    <xf numFmtId="0" fontId="25" fillId="0" borderId="0" xfId="0" applyFont="1" applyAlignment="1">
      <alignment wrapText="1"/>
    </xf>
    <xf numFmtId="0" fontId="28" fillId="0" borderId="0" xfId="0" applyFont="1"/>
    <xf numFmtId="0" fontId="27" fillId="0" borderId="8" xfId="0" applyFont="1" applyBorder="1" applyAlignment="1">
      <alignment horizontal="center" wrapText="1"/>
    </xf>
    <xf numFmtId="0" fontId="29" fillId="0" borderId="0" xfId="0" applyFont="1"/>
    <xf numFmtId="0" fontId="0" fillId="0" borderId="0" xfId="0" applyAlignment="1">
      <alignment horizontal="center"/>
    </xf>
    <xf numFmtId="0" fontId="30" fillId="0" borderId="0" xfId="0" applyFont="1" applyAlignment="1">
      <alignment horizontal="center"/>
    </xf>
    <xf numFmtId="0" fontId="31" fillId="0" borderId="0" xfId="0" applyFont="1" applyAlignment="1">
      <alignment horizontal="left"/>
    </xf>
    <xf numFmtId="0" fontId="10" fillId="0" borderId="0" xfId="2" applyFont="1" applyAlignment="1">
      <alignment wrapText="1"/>
    </xf>
    <xf numFmtId="0" fontId="9" fillId="0" borderId="0" xfId="2" applyFont="1" applyAlignment="1">
      <alignment wrapText="1"/>
    </xf>
    <xf numFmtId="0" fontId="11" fillId="0" borderId="0" xfId="2" applyFont="1" applyAlignment="1">
      <alignment horizontal="center" vertical="center" wrapText="1"/>
    </xf>
    <xf numFmtId="0" fontId="9" fillId="0" borderId="0" xfId="2" applyFont="1" applyAlignment="1">
      <alignment horizont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0" xfId="2" applyFont="1" applyAlignment="1">
      <alignment horizontal="right" vertical="center" wrapText="1"/>
    </xf>
    <xf numFmtId="0" fontId="15" fillId="0" borderId="0" xfId="1" applyFont="1" applyAlignment="1">
      <alignment horizontal="center" vertical="center" wrapText="1"/>
    </xf>
    <xf numFmtId="0" fontId="9" fillId="0" borderId="0" xfId="2" applyFont="1" applyAlignment="1">
      <alignment horizontal="left" vertical="center"/>
    </xf>
    <xf numFmtId="0" fontId="9" fillId="0" borderId="0" xfId="2" applyFont="1" applyAlignment="1">
      <alignment horizontal="left" vertical="center" wrapText="1"/>
    </xf>
    <xf numFmtId="0" fontId="11" fillId="0" borderId="0" xfId="2" applyFont="1" applyAlignment="1">
      <alignment horizontal="left"/>
    </xf>
    <xf numFmtId="3" fontId="11" fillId="0" borderId="8" xfId="1" applyNumberFormat="1" applyFont="1" applyBorder="1" applyAlignment="1">
      <alignment horizontal="center" wrapText="1"/>
    </xf>
    <xf numFmtId="0" fontId="11" fillId="0" borderId="8" xfId="1" applyFont="1" applyBorder="1" applyAlignment="1">
      <alignment horizontal="center" wrapText="1"/>
    </xf>
    <xf numFmtId="0" fontId="16" fillId="0" borderId="0" xfId="2" applyFont="1" applyAlignment="1">
      <alignment horizontal="center" vertical="center" wrapText="1"/>
    </xf>
    <xf numFmtId="0" fontId="15" fillId="0" borderId="0" xfId="2" applyFont="1" applyAlignment="1">
      <alignment horizontal="center" vertical="center" wrapText="1"/>
    </xf>
    <xf numFmtId="0" fontId="17" fillId="0" borderId="0" xfId="2" applyFont="1" applyAlignment="1">
      <alignment horizontal="left" vertical="center"/>
    </xf>
    <xf numFmtId="0" fontId="17" fillId="0" borderId="0" xfId="2" applyFont="1" applyAlignment="1">
      <alignment vertical="center"/>
    </xf>
    <xf numFmtId="0" fontId="9" fillId="0" borderId="0" xfId="2" applyFont="1"/>
    <xf numFmtId="0" fontId="17" fillId="0" borderId="0" xfId="2" applyFont="1"/>
    <xf numFmtId="0" fontId="32" fillId="0" borderId="0" xfId="2" applyFont="1" applyAlignment="1">
      <alignment wrapText="1"/>
    </xf>
    <xf numFmtId="0" fontId="0" fillId="0" borderId="0" xfId="0" applyAlignment="1">
      <alignment wrapText="1"/>
    </xf>
    <xf numFmtId="0" fontId="31" fillId="0" borderId="0" xfId="0" applyFont="1"/>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3" fillId="2" borderId="0" xfId="0" applyFont="1" applyFill="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left" vertical="center" wrapText="1"/>
    </xf>
    <xf numFmtId="9" fontId="9" fillId="0" borderId="11" xfId="0" applyNumberFormat="1" applyFont="1" applyBorder="1" applyAlignment="1">
      <alignment horizontal="center" vertical="center" wrapText="1"/>
    </xf>
    <xf numFmtId="0" fontId="11" fillId="2" borderId="19" xfId="0" applyFont="1" applyFill="1" applyBorder="1" applyAlignment="1">
      <alignment horizontal="center" vertical="center" wrapText="1"/>
    </xf>
    <xf numFmtId="0" fontId="11" fillId="0" borderId="18" xfId="0" applyFont="1" applyBorder="1" applyAlignment="1">
      <alignment vertical="center" wrapText="1"/>
    </xf>
    <xf numFmtId="0" fontId="9" fillId="0" borderId="11" xfId="0" applyFont="1" applyBorder="1" applyAlignment="1">
      <alignment horizontal="center" vertical="center" wrapText="1"/>
    </xf>
    <xf numFmtId="165" fontId="11" fillId="0" borderId="18" xfId="3" applyNumberFormat="1" applyFont="1" applyFill="1" applyBorder="1" applyAlignment="1">
      <alignment horizontal="left" vertical="center" wrapText="1"/>
    </xf>
    <xf numFmtId="0" fontId="11" fillId="0" borderId="20" xfId="0" applyFont="1" applyBorder="1" applyAlignment="1">
      <alignment horizontal="left" vertical="center" wrapText="1"/>
    </xf>
    <xf numFmtId="0" fontId="11" fillId="0" borderId="20" xfId="0" applyFont="1" applyBorder="1" applyAlignment="1">
      <alignment vertical="center" wrapText="1"/>
    </xf>
    <xf numFmtId="0" fontId="11"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9" fillId="0" borderId="13" xfId="0" applyFont="1" applyBorder="1" applyAlignment="1">
      <alignment horizontal="center" vertical="center" wrapText="1"/>
    </xf>
    <xf numFmtId="9" fontId="9" fillId="0" borderId="13" xfId="0" applyNumberFormat="1" applyFont="1" applyBorder="1" applyAlignment="1">
      <alignment horizontal="center" vertical="center" wrapText="1"/>
    </xf>
    <xf numFmtId="0" fontId="12" fillId="2" borderId="16" xfId="2" applyFont="1" applyFill="1" applyBorder="1" applyAlignment="1">
      <alignment horizontal="center" vertical="center" wrapText="1"/>
    </xf>
    <xf numFmtId="0" fontId="12" fillId="2" borderId="23" xfId="2" applyFont="1" applyFill="1" applyBorder="1" applyAlignment="1">
      <alignment horizontal="center" vertical="center" wrapText="1"/>
    </xf>
    <xf numFmtId="0" fontId="13" fillId="2" borderId="6" xfId="2" applyFont="1" applyFill="1" applyBorder="1" applyAlignment="1">
      <alignment horizontal="center" vertical="center" wrapText="1"/>
    </xf>
    <xf numFmtId="3" fontId="13" fillId="2" borderId="6" xfId="2" applyNumberFormat="1" applyFont="1" applyFill="1" applyBorder="1" applyAlignment="1">
      <alignment horizontal="center" vertical="center" wrapText="1"/>
    </xf>
    <xf numFmtId="0" fontId="33" fillId="2" borderId="24" xfId="0" applyFont="1" applyFill="1" applyBorder="1" applyAlignment="1">
      <alignment horizontal="center" wrapText="1"/>
    </xf>
    <xf numFmtId="0" fontId="33" fillId="2" borderId="24" xfId="0" applyFont="1" applyFill="1" applyBorder="1" applyAlignment="1">
      <alignment horizontal="center" vertical="center"/>
    </xf>
    <xf numFmtId="0" fontId="33" fillId="2" borderId="25" xfId="0" applyFont="1" applyFill="1" applyBorder="1" applyAlignment="1">
      <alignment horizontal="center" vertical="center"/>
    </xf>
    <xf numFmtId="0" fontId="33" fillId="2" borderId="26" xfId="0" applyFont="1" applyFill="1" applyBorder="1" applyAlignment="1">
      <alignment horizontal="center" vertical="center" wrapText="1"/>
    </xf>
    <xf numFmtId="0" fontId="33" fillId="2" borderId="26" xfId="0" applyFont="1" applyFill="1" applyBorder="1"/>
    <xf numFmtId="0" fontId="5" fillId="2" borderId="27" xfId="0" applyFont="1" applyFill="1" applyBorder="1"/>
    <xf numFmtId="0" fontId="20" fillId="2" borderId="25" xfId="0" applyFont="1" applyFill="1" applyBorder="1" applyAlignment="1">
      <alignment horizontal="center" vertical="center"/>
    </xf>
    <xf numFmtId="0" fontId="33" fillId="2" borderId="26"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27" xfId="0" applyFont="1" applyFill="1" applyBorder="1" applyAlignment="1">
      <alignment horizontal="center" vertical="center"/>
    </xf>
    <xf numFmtId="0" fontId="7" fillId="0" borderId="0" xfId="0" applyFont="1" applyAlignment="1">
      <alignment horizontal="left" vertical="center"/>
    </xf>
    <xf numFmtId="0" fontId="22" fillId="0" borderId="5" xfId="0" applyFont="1" applyBorder="1"/>
    <xf numFmtId="14" fontId="21" fillId="0" borderId="0" xfId="0" applyNumberFormat="1" applyFont="1"/>
    <xf numFmtId="14" fontId="7" fillId="0" borderId="0" xfId="0" applyNumberFormat="1" applyFont="1"/>
    <xf numFmtId="0" fontId="21" fillId="0" borderId="0" xfId="0" applyFont="1" applyProtection="1">
      <protection locked="0"/>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3" fontId="21" fillId="0" borderId="0" xfId="0" applyNumberFormat="1" applyFont="1" applyAlignment="1">
      <alignment horizontal="center" vertical="center"/>
    </xf>
    <xf numFmtId="14" fontId="2" fillId="0" borderId="5" xfId="0" applyNumberFormat="1" applyFont="1" applyBorder="1"/>
    <xf numFmtId="14" fontId="0" fillId="0" borderId="0" xfId="0" applyNumberFormat="1"/>
    <xf numFmtId="3" fontId="21" fillId="0" borderId="0" xfId="0" applyNumberFormat="1" applyFont="1"/>
    <xf numFmtId="3" fontId="21" fillId="0" borderId="1" xfId="0" applyNumberFormat="1" applyFont="1" applyBorder="1" applyAlignment="1">
      <alignment horizontal="center"/>
    </xf>
    <xf numFmtId="0" fontId="0" fillId="0" borderId="5" xfId="0" applyBorder="1"/>
    <xf numFmtId="3" fontId="21" fillId="0" borderId="10" xfId="0" applyNumberFormat="1" applyFont="1" applyBorder="1" applyAlignment="1" applyProtection="1">
      <alignment horizontal="center" vertical="center"/>
      <protection locked="0"/>
    </xf>
    <xf numFmtId="0" fontId="6" fillId="0" borderId="0" xfId="0" applyFont="1"/>
    <xf numFmtId="0" fontId="7" fillId="0" borderId="7" xfId="0" applyFont="1" applyBorder="1"/>
    <xf numFmtId="0" fontId="7" fillId="0" borderId="5" xfId="0" applyFont="1" applyBorder="1"/>
    <xf numFmtId="0" fontId="2" fillId="0" borderId="0" xfId="0" applyFont="1" applyAlignment="1">
      <alignment wrapText="1"/>
    </xf>
    <xf numFmtId="1" fontId="21" fillId="0" borderId="1" xfId="0" applyNumberFormat="1" applyFont="1" applyBorder="1" applyAlignment="1" applyProtection="1">
      <alignment horizontal="center"/>
      <protection locked="0"/>
    </xf>
    <xf numFmtId="3" fontId="21" fillId="4" borderId="1" xfId="0" applyNumberFormat="1" applyFont="1" applyFill="1" applyBorder="1" applyAlignment="1" applyProtection="1">
      <alignment horizontal="center" vertical="center"/>
      <protection locked="0"/>
    </xf>
    <xf numFmtId="0" fontId="41" fillId="0" borderId="5" xfId="0" applyFont="1" applyBorder="1"/>
    <xf numFmtId="1" fontId="21" fillId="0" borderId="1" xfId="0" applyNumberFormat="1" applyFont="1" applyBorder="1" applyAlignment="1">
      <alignment horizontal="center"/>
    </xf>
    <xf numFmtId="0" fontId="7" fillId="4" borderId="0" xfId="0" applyFont="1" applyFill="1"/>
    <xf numFmtId="0" fontId="21" fillId="4" borderId="0" xfId="0" applyFont="1" applyFill="1"/>
    <xf numFmtId="0" fontId="0" fillId="4" borderId="0" xfId="0" applyFill="1"/>
    <xf numFmtId="1" fontId="21" fillId="0" borderId="0" xfId="0" applyNumberFormat="1" applyFont="1"/>
    <xf numFmtId="0" fontId="0" fillId="0" borderId="0" xfId="0" applyProtection="1">
      <protection locked="0"/>
    </xf>
    <xf numFmtId="0" fontId="44" fillId="5" borderId="0" xfId="0" applyFont="1" applyFill="1" applyProtection="1">
      <protection locked="0"/>
    </xf>
    <xf numFmtId="0" fontId="0" fillId="5" borderId="0" xfId="0" applyFill="1" applyProtection="1">
      <protection locked="0"/>
    </xf>
    <xf numFmtId="0" fontId="0" fillId="0" borderId="0" xfId="0" applyAlignment="1">
      <alignment horizontal="left" vertical="top" wrapText="1"/>
    </xf>
    <xf numFmtId="0" fontId="0" fillId="0" borderId="0" xfId="0" applyAlignment="1">
      <alignment horizontal="left" vertical="top"/>
    </xf>
    <xf numFmtId="0" fontId="30"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7" fillId="0" borderId="28"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0" xfId="0" applyFont="1" applyBorder="1" applyAlignment="1">
      <alignment horizontal="left" vertical="center" wrapText="1" indent="1"/>
    </xf>
    <xf numFmtId="0" fontId="35" fillId="0" borderId="0" xfId="0" applyFont="1" applyAlignment="1">
      <alignment horizontal="center"/>
    </xf>
    <xf numFmtId="167" fontId="34" fillId="0" borderId="0" xfId="0" applyNumberFormat="1" applyFont="1" applyAlignment="1">
      <alignment horizontal="center"/>
    </xf>
    <xf numFmtId="0" fontId="21" fillId="0" borderId="5" xfId="0" applyFont="1" applyBorder="1" applyAlignment="1">
      <alignment horizontal="left"/>
    </xf>
    <xf numFmtId="0" fontId="21" fillId="0" borderId="0" xfId="0" applyFont="1" applyAlignment="1">
      <alignment horizontal="left"/>
    </xf>
    <xf numFmtId="0" fontId="2" fillId="0" borderId="28" xfId="0" applyFont="1" applyBorder="1" applyAlignment="1">
      <alignment horizontal="left" vertical="center" wrapText="1" indent="1"/>
    </xf>
    <xf numFmtId="0" fontId="21" fillId="0" borderId="29" xfId="0" applyFont="1" applyBorder="1" applyAlignment="1">
      <alignment horizontal="left" vertical="center" wrapText="1" indent="1"/>
    </xf>
    <xf numFmtId="0" fontId="21" fillId="0" borderId="30"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12" fillId="2" borderId="0" xfId="0" applyFont="1" applyFill="1" applyAlignment="1">
      <alignment horizontal="center" vertical="center" wrapText="1"/>
    </xf>
    <xf numFmtId="0" fontId="14" fillId="2" borderId="0" xfId="0" applyFont="1" applyFill="1" applyAlignment="1">
      <alignment horizontal="center" vertical="center" wrapText="1"/>
    </xf>
    <xf numFmtId="0" fontId="13" fillId="2" borderId="0" xfId="2" applyFont="1" applyFill="1" applyAlignment="1">
      <alignment horizontal="center" vertical="center" wrapText="1"/>
    </xf>
    <xf numFmtId="0" fontId="37" fillId="0" borderId="0" xfId="2" applyFont="1" applyAlignment="1">
      <alignment horizontal="center" wrapText="1"/>
    </xf>
    <xf numFmtId="0" fontId="38" fillId="0" borderId="0" xfId="2" applyFont="1" applyAlignment="1">
      <alignment horizont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3" fillId="2" borderId="0" xfId="0" applyFont="1" applyFill="1" applyAlignment="1">
      <alignment horizontal="center" vertical="center" wrapText="1"/>
    </xf>
    <xf numFmtId="0" fontId="36" fillId="0" borderId="8" xfId="2" applyFont="1" applyBorder="1" applyAlignment="1">
      <alignment horizontal="center" vertical="top" wrapText="1"/>
    </xf>
  </cellXfs>
  <cellStyles count="4">
    <cellStyle name="Normal" xfId="0" builtinId="0"/>
    <cellStyle name="Normal 2" xfId="1"/>
    <cellStyle name="Normal 3" xfId="2"/>
    <cellStyle name="Percent 2" xfId="3"/>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70" lockText="1"/>
</file>

<file path=xl/ctrlProps/ctrlProp10.xml><?xml version="1.0" encoding="utf-8"?>
<formControlPr xmlns="http://schemas.microsoft.com/office/spreadsheetml/2009/9/main" objectType="CheckBox" fmlaLink="$N99" lockText="1"/>
</file>

<file path=xl/ctrlProps/ctrlProp11.xml><?xml version="1.0" encoding="utf-8"?>
<formControlPr xmlns="http://schemas.microsoft.com/office/spreadsheetml/2009/9/main" objectType="CheckBox" fmlaLink="$N116" lockText="1"/>
</file>

<file path=xl/ctrlProps/ctrlProp2.xml><?xml version="1.0" encoding="utf-8"?>
<formControlPr xmlns="http://schemas.microsoft.com/office/spreadsheetml/2009/9/main" objectType="CheckBox" fmlaLink="$N71" lockText="1"/>
</file>

<file path=xl/ctrlProps/ctrlProp3.xml><?xml version="1.0" encoding="utf-8"?>
<formControlPr xmlns="http://schemas.microsoft.com/office/spreadsheetml/2009/9/main" objectType="CheckBox" fmlaLink="$N80" lockText="1"/>
</file>

<file path=xl/ctrlProps/ctrlProp4.xml><?xml version="1.0" encoding="utf-8"?>
<formControlPr xmlns="http://schemas.microsoft.com/office/spreadsheetml/2009/9/main" objectType="CheckBox" fmlaLink="$N81" lockText="1"/>
</file>

<file path=xl/ctrlProps/ctrlProp5.xml><?xml version="1.0" encoding="utf-8"?>
<formControlPr xmlns="http://schemas.microsoft.com/office/spreadsheetml/2009/9/main" objectType="CheckBox" fmlaLink="$N108" lockText="1"/>
</file>

<file path=xl/ctrlProps/ctrlProp6.xml><?xml version="1.0" encoding="utf-8"?>
<formControlPr xmlns="http://schemas.microsoft.com/office/spreadsheetml/2009/9/main" objectType="CheckBox" fmlaLink="$N109" lockText="1"/>
</file>

<file path=xl/ctrlProps/ctrlProp7.xml><?xml version="1.0" encoding="utf-8"?>
<formControlPr xmlns="http://schemas.microsoft.com/office/spreadsheetml/2009/9/main" objectType="CheckBox" fmlaLink="$N82" lockText="1"/>
</file>

<file path=xl/ctrlProps/ctrlProp8.xml><?xml version="1.0" encoding="utf-8"?>
<formControlPr xmlns="http://schemas.microsoft.com/office/spreadsheetml/2009/9/main" objectType="CheckBox" fmlaLink="$N21" lockText="1"/>
</file>

<file path=xl/ctrlProps/ctrlProp9.xml><?xml version="1.0" encoding="utf-8"?>
<formControlPr xmlns="http://schemas.microsoft.com/office/spreadsheetml/2009/9/main" objectType="CheckBox" fmlaLink="$N$20"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69</xdr:row>
          <xdr:rowOff>7620</xdr:rowOff>
        </xdr:from>
        <xdr:to>
          <xdr:col>3</xdr:col>
          <xdr:colOff>502920</xdr:colOff>
          <xdr:row>69</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70</xdr:row>
          <xdr:rowOff>7620</xdr:rowOff>
        </xdr:from>
        <xdr:to>
          <xdr:col>3</xdr:col>
          <xdr:colOff>525780</xdr:colOff>
          <xdr:row>71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79</xdr:row>
          <xdr:rowOff>7620</xdr:rowOff>
        </xdr:from>
        <xdr:to>
          <xdr:col>3</xdr:col>
          <xdr:colOff>525780</xdr:colOff>
          <xdr:row>80</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80</xdr:row>
          <xdr:rowOff>7620</xdr:rowOff>
        </xdr:from>
        <xdr:to>
          <xdr:col>3</xdr:col>
          <xdr:colOff>525780</xdr:colOff>
          <xdr:row>81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98</xdr:row>
          <xdr:rowOff>7620</xdr:rowOff>
        </xdr:from>
        <xdr:to>
          <xdr:col>3</xdr:col>
          <xdr:colOff>525780</xdr:colOff>
          <xdr:row>99</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107</xdr:row>
          <xdr:rowOff>7620</xdr:rowOff>
        </xdr:from>
        <xdr:to>
          <xdr:col>3</xdr:col>
          <xdr:colOff>525780</xdr:colOff>
          <xdr:row>108</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108</xdr:row>
          <xdr:rowOff>7620</xdr:rowOff>
        </xdr:from>
        <xdr:to>
          <xdr:col>3</xdr:col>
          <xdr:colOff>525780</xdr:colOff>
          <xdr:row>109</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81</xdr:row>
          <xdr:rowOff>7620</xdr:rowOff>
        </xdr:from>
        <xdr:to>
          <xdr:col>3</xdr:col>
          <xdr:colOff>525780</xdr:colOff>
          <xdr:row>82</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3543300</xdr:colOff>
          <xdr:row>30</xdr:row>
          <xdr:rowOff>182880</xdr:rowOff>
        </xdr:from>
        <xdr:to>
          <xdr:col>2</xdr:col>
          <xdr:colOff>3962400</xdr:colOff>
          <xdr:row>31</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17</xdr:row>
          <xdr:rowOff>22860</xdr:rowOff>
        </xdr:from>
        <xdr:to>
          <xdr:col>5</xdr:col>
          <xdr:colOff>121920</xdr:colOff>
          <xdr:row>20</xdr:row>
          <xdr:rowOff>68580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115</xdr:row>
          <xdr:rowOff>7620</xdr:rowOff>
        </xdr:from>
        <xdr:to>
          <xdr:col>3</xdr:col>
          <xdr:colOff>525780</xdr:colOff>
          <xdr:row>116</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2C2C5B20-8550-4EBF-B089-3E5C31FDB9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23"/>
  <sheetViews>
    <sheetView showGridLines="0" tabSelected="1" workbookViewId="0">
      <selection activeCell="C5" sqref="C5"/>
    </sheetView>
  </sheetViews>
  <sheetFormatPr defaultColWidth="9" defaultRowHeight="14.4" x14ac:dyDescent="0.3"/>
  <cols>
    <col min="1" max="1" width="1.33203125" customWidth="1"/>
    <col min="2" max="2" width="22.33203125" customWidth="1"/>
    <col min="3" max="3" width="28" customWidth="1"/>
    <col min="4" max="4" width="30.44140625" customWidth="1"/>
    <col min="5" max="7" width="18.88671875" hidden="1" customWidth="1"/>
  </cols>
  <sheetData>
    <row r="1" spans="2:7" ht="18" x14ac:dyDescent="0.35">
      <c r="B1" s="128" t="s">
        <v>147</v>
      </c>
      <c r="C1" s="128"/>
      <c r="D1" s="128"/>
      <c r="F1" s="106">
        <v>45291</v>
      </c>
    </row>
    <row r="2" spans="2:7" ht="18" x14ac:dyDescent="0.35">
      <c r="B2" s="41"/>
      <c r="C2" s="41"/>
      <c r="D2" s="41"/>
      <c r="F2" s="106">
        <v>44957</v>
      </c>
    </row>
    <row r="3" spans="2:7" ht="18" x14ac:dyDescent="0.35">
      <c r="B3" s="42" t="s">
        <v>102</v>
      </c>
      <c r="C3" s="41"/>
      <c r="D3" s="41"/>
      <c r="F3" s="106">
        <v>44985</v>
      </c>
    </row>
    <row r="4" spans="2:7" ht="9.6" customHeight="1" x14ac:dyDescent="0.3">
      <c r="F4" s="106">
        <v>45016</v>
      </c>
    </row>
    <row r="5" spans="2:7" x14ac:dyDescent="0.3">
      <c r="B5" t="s">
        <v>101</v>
      </c>
      <c r="C5" s="102"/>
      <c r="D5" s="40"/>
      <c r="F5" s="106">
        <v>45046</v>
      </c>
    </row>
    <row r="6" spans="2:7" ht="9.6" customHeight="1" x14ac:dyDescent="0.3">
      <c r="C6" s="40"/>
      <c r="D6" s="40"/>
      <c r="F6" s="106">
        <v>45077</v>
      </c>
    </row>
    <row r="7" spans="2:7" x14ac:dyDescent="0.3">
      <c r="B7" t="s">
        <v>26</v>
      </c>
      <c r="C7" s="102"/>
      <c r="D7" s="40"/>
      <c r="F7" s="106">
        <v>45107</v>
      </c>
    </row>
    <row r="8" spans="2:7" ht="9.6" customHeight="1" x14ac:dyDescent="0.3">
      <c r="D8" s="40"/>
      <c r="F8" s="106">
        <v>45138</v>
      </c>
    </row>
    <row r="9" spans="2:7" x14ac:dyDescent="0.3">
      <c r="B9" t="s">
        <v>112</v>
      </c>
      <c r="C9" s="103"/>
      <c r="D9" s="40"/>
      <c r="F9" s="106">
        <v>45169</v>
      </c>
    </row>
    <row r="10" spans="2:7" ht="9.6" customHeight="1" x14ac:dyDescent="0.3">
      <c r="C10" s="40"/>
      <c r="D10" s="40"/>
      <c r="F10" s="106">
        <v>45199</v>
      </c>
    </row>
    <row r="11" spans="2:7" x14ac:dyDescent="0.3">
      <c r="B11" t="s">
        <v>27</v>
      </c>
      <c r="C11" s="103"/>
      <c r="D11" s="40"/>
      <c r="F11" s="106">
        <v>45230</v>
      </c>
    </row>
    <row r="12" spans="2:7" ht="27.9" customHeight="1" x14ac:dyDescent="0.3">
      <c r="F12" s="106">
        <v>45260</v>
      </c>
    </row>
    <row r="13" spans="2:7" ht="15.6" x14ac:dyDescent="0.3">
      <c r="B13" s="42" t="s">
        <v>57</v>
      </c>
      <c r="F13" s="106"/>
    </row>
    <row r="14" spans="2:7" ht="9.6" customHeight="1" x14ac:dyDescent="0.3"/>
    <row r="15" spans="2:7" ht="14.25" customHeight="1" x14ac:dyDescent="0.3">
      <c r="B15" s="129" t="s">
        <v>148</v>
      </c>
      <c r="C15" s="130"/>
      <c r="D15" s="130"/>
      <c r="G15" s="65"/>
    </row>
    <row r="16" spans="2:7" ht="23.1" customHeight="1" x14ac:dyDescent="0.3">
      <c r="B16" s="130" t="s">
        <v>58</v>
      </c>
      <c r="C16" s="130"/>
      <c r="D16" s="130"/>
    </row>
    <row r="17" spans="2:4" ht="30.75" customHeight="1" x14ac:dyDescent="0.3">
      <c r="B17" s="129" t="s">
        <v>146</v>
      </c>
      <c r="C17" s="130"/>
      <c r="D17" s="130"/>
    </row>
    <row r="18" spans="2:4" ht="40.5" customHeight="1" x14ac:dyDescent="0.3">
      <c r="B18" s="129" t="s">
        <v>149</v>
      </c>
      <c r="C18" s="129"/>
      <c r="D18" s="129"/>
    </row>
    <row r="19" spans="2:4" ht="23.1" customHeight="1" x14ac:dyDescent="0.3">
      <c r="B19" s="130" t="s">
        <v>106</v>
      </c>
      <c r="C19" s="130"/>
      <c r="D19" s="130"/>
    </row>
    <row r="21" spans="2:4" ht="15.6" x14ac:dyDescent="0.3">
      <c r="B21" s="66" t="s">
        <v>108</v>
      </c>
    </row>
    <row r="22" spans="2:4" ht="9.6" customHeight="1" x14ac:dyDescent="0.3"/>
    <row r="23" spans="2:4" ht="190.35" customHeight="1" x14ac:dyDescent="0.3">
      <c r="B23" s="126" t="s">
        <v>150</v>
      </c>
      <c r="C23" s="127"/>
      <c r="D23" s="127"/>
    </row>
  </sheetData>
  <sheetProtection algorithmName="SHA-512" hashValue="kwj4cLiNavT67oCQUcH6wg3n5/K0u0B2Osa7onyY5dM8xsb1EusdIXnA711zXV8/i3apLgJeknIOTCxZ45ikcw==" saltValue="g+eQ9pV1xi8OvT2ANDkjXg==" spinCount="100000"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formula1>0</formula1>
      <formula2>40</formula2>
    </dataValidation>
    <dataValidation type="whole" allowBlank="1" showInputMessage="1" showErrorMessage="1" sqref="C5">
      <formula1>1</formula1>
      <formula2>9999</formula2>
    </dataValidation>
    <dataValidation type="list" allowBlank="1" showErrorMessage="1" sqref="C9">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132"/>
  <sheetViews>
    <sheetView showGridLines="0" zoomScaleNormal="100" workbookViewId="0">
      <selection activeCell="P1" sqref="P1"/>
    </sheetView>
  </sheetViews>
  <sheetFormatPr defaultColWidth="9" defaultRowHeight="14.4" x14ac:dyDescent="0.3"/>
  <cols>
    <col min="1" max="1" width="4.33203125" customWidth="1"/>
    <col min="2" max="2" width="26" customWidth="1"/>
    <col min="3" max="3" width="60.109375" customWidth="1"/>
    <col min="4" max="4" width="9.109375" customWidth="1"/>
    <col min="5" max="5" width="1.6640625" customWidth="1"/>
    <col min="6" max="6" width="9.109375" customWidth="1"/>
    <col min="7" max="7" width="1.6640625" style="3" customWidth="1"/>
    <col min="8" max="10" width="8.6640625" customWidth="1"/>
    <col min="11" max="11" width="25.109375" style="4" hidden="1" customWidth="1"/>
    <col min="12" max="14" width="8.6640625" style="5" hidden="1" customWidth="1"/>
    <col min="15" max="15" width="8.6640625" hidden="1" customWidth="1"/>
    <col min="16" max="37" width="9" style="123"/>
  </cols>
  <sheetData>
    <row r="1" spans="1:37" ht="15.6" x14ac:dyDescent="0.3">
      <c r="A1" s="140" t="str">
        <f>"2023 Journey to Excellence - Troop "&amp;'Setup &amp; Instructions'!C5&amp;" - "&amp;'Setup &amp; Instructions'!C7&amp;" District"</f>
        <v>2023 Journey to Excellence - Troop  -  District</v>
      </c>
      <c r="B1" s="140"/>
      <c r="C1" s="140"/>
      <c r="D1" s="140"/>
      <c r="E1" s="140"/>
      <c r="F1" s="140"/>
      <c r="G1" s="140"/>
      <c r="H1" s="140"/>
      <c r="I1" s="140"/>
      <c r="J1" s="140"/>
      <c r="K1" s="119"/>
      <c r="L1" s="120"/>
      <c r="M1" s="120"/>
      <c r="N1" s="120"/>
      <c r="O1" s="121"/>
    </row>
    <row r="2" spans="1:37" s="5" customFormat="1" ht="13.65" customHeight="1" x14ac:dyDescent="0.3">
      <c r="A2" s="141" t="str">
        <f>IF('Setup &amp; Instructions'!C11="","",'Setup &amp; Instructions'!C11)</f>
        <v/>
      </c>
      <c r="B2" s="141"/>
      <c r="C2" s="141"/>
      <c r="D2" s="141"/>
      <c r="E2" s="141"/>
      <c r="F2" s="141"/>
      <c r="G2" s="141"/>
      <c r="H2" s="141"/>
      <c r="I2" s="141"/>
      <c r="J2" s="141"/>
      <c r="K2" s="4"/>
      <c r="P2" s="101"/>
      <c r="Q2" s="101"/>
      <c r="R2" s="101"/>
      <c r="S2" s="101"/>
      <c r="T2" s="101"/>
      <c r="U2" s="101"/>
      <c r="V2" s="101"/>
      <c r="W2" s="101"/>
      <c r="X2" s="101"/>
      <c r="Y2" s="101"/>
      <c r="Z2" s="101"/>
      <c r="AA2" s="101"/>
      <c r="AB2" s="101"/>
      <c r="AC2" s="101"/>
      <c r="AD2" s="101"/>
      <c r="AE2" s="101"/>
      <c r="AF2" s="101"/>
      <c r="AG2" s="101"/>
      <c r="AH2" s="101"/>
      <c r="AI2" s="101"/>
      <c r="AJ2" s="101"/>
      <c r="AK2" s="101"/>
    </row>
    <row r="3" spans="1:37" ht="18.600000000000001" customHeight="1" thickBot="1" x14ac:dyDescent="0.35">
      <c r="A3" s="6"/>
    </row>
    <row r="4" spans="1:37" ht="27.9" customHeight="1" thickBot="1" x14ac:dyDescent="0.35">
      <c r="A4" s="87" t="s">
        <v>4</v>
      </c>
      <c r="B4" s="88" t="s">
        <v>0</v>
      </c>
      <c r="C4" s="89" t="s">
        <v>5</v>
      </c>
      <c r="D4" s="90" t="s">
        <v>7</v>
      </c>
      <c r="E4" s="91"/>
      <c r="F4" s="90" t="s">
        <v>6</v>
      </c>
      <c r="G4" s="92"/>
      <c r="H4" s="87" t="s">
        <v>1</v>
      </c>
      <c r="I4" s="87" t="s">
        <v>2</v>
      </c>
      <c r="J4" s="87" t="s">
        <v>3</v>
      </c>
    </row>
    <row r="5" spans="1:37" ht="15" customHeight="1" thickBot="1" x14ac:dyDescent="0.35">
      <c r="A5" s="93"/>
      <c r="B5" s="94" t="s">
        <v>22</v>
      </c>
      <c r="C5" s="95"/>
      <c r="D5" s="95"/>
      <c r="E5" s="95"/>
      <c r="F5" s="95"/>
      <c r="G5" s="95"/>
      <c r="H5" s="95"/>
      <c r="I5" s="95"/>
      <c r="J5" s="96"/>
    </row>
    <row r="6" spans="1:37" ht="6.75" customHeight="1" x14ac:dyDescent="0.3">
      <c r="A6" s="134">
        <v>1</v>
      </c>
      <c r="B6" s="137" t="s">
        <v>166</v>
      </c>
      <c r="C6" s="7"/>
      <c r="D6" s="8"/>
      <c r="E6" s="8"/>
      <c r="F6" s="8"/>
      <c r="G6" s="9"/>
      <c r="H6" s="131" t="str">
        <f>IF(K10=1,K7,IF(K10=101,K7,""))</f>
        <v/>
      </c>
      <c r="I6" s="131" t="str">
        <f>IF(K10=11,L7,"")</f>
        <v/>
      </c>
      <c r="J6" s="131" t="str">
        <f>IF(K10=111,M7,"")</f>
        <v/>
      </c>
    </row>
    <row r="7" spans="1:37" ht="15" customHeight="1" x14ac:dyDescent="0.3">
      <c r="A7" s="135"/>
      <c r="B7" s="138"/>
      <c r="C7" s="10" t="s">
        <v>62</v>
      </c>
      <c r="D7" s="1"/>
      <c r="E7" s="5"/>
      <c r="F7" s="5"/>
      <c r="G7" s="11"/>
      <c r="H7" s="132"/>
      <c r="I7" s="132"/>
      <c r="J7" s="132"/>
      <c r="K7" s="4">
        <v>50</v>
      </c>
      <c r="L7" s="5">
        <v>100</v>
      </c>
      <c r="M7" s="5">
        <v>200</v>
      </c>
    </row>
    <row r="8" spans="1:37" ht="15" customHeight="1" x14ac:dyDescent="0.3">
      <c r="A8" s="135"/>
      <c r="B8" s="138"/>
      <c r="C8" s="10" t="s">
        <v>63</v>
      </c>
      <c r="D8" s="1"/>
      <c r="E8" s="5"/>
      <c r="F8" s="5"/>
      <c r="G8" s="11"/>
      <c r="H8" s="132"/>
      <c r="I8" s="132"/>
      <c r="J8" s="132"/>
      <c r="L8" s="5">
        <v>6</v>
      </c>
      <c r="M8" s="99"/>
    </row>
    <row r="9" spans="1:37" ht="15" customHeight="1" x14ac:dyDescent="0.3">
      <c r="A9" s="135"/>
      <c r="B9" s="138"/>
      <c r="C9" s="10" t="s">
        <v>9</v>
      </c>
      <c r="D9" s="1"/>
      <c r="E9" s="5"/>
      <c r="F9" s="5"/>
      <c r="G9" s="11"/>
      <c r="H9" s="132"/>
      <c r="I9" s="132"/>
      <c r="J9" s="132"/>
    </row>
    <row r="10" spans="1:37" ht="15" customHeight="1" x14ac:dyDescent="0.3">
      <c r="A10" s="135"/>
      <c r="B10" s="138"/>
      <c r="C10" s="10" t="s">
        <v>10</v>
      </c>
      <c r="D10" s="1"/>
      <c r="E10" s="5"/>
      <c r="F10" s="5"/>
      <c r="G10" s="11"/>
      <c r="H10" s="132"/>
      <c r="I10" s="132"/>
      <c r="J10" s="132"/>
      <c r="K10" s="4">
        <f>IF(D7="",0,1)+IF(F15=L8,100,0)+IF(D8="",0,10)</f>
        <v>0</v>
      </c>
    </row>
    <row r="11" spans="1:37" ht="15" customHeight="1" x14ac:dyDescent="0.3">
      <c r="A11" s="135"/>
      <c r="B11" s="138"/>
      <c r="C11" s="10" t="s">
        <v>11</v>
      </c>
      <c r="D11" s="1"/>
      <c r="E11" s="5"/>
      <c r="F11" s="5"/>
      <c r="G11" s="11"/>
      <c r="H11" s="132"/>
      <c r="I11" s="132"/>
      <c r="J11" s="132"/>
    </row>
    <row r="12" spans="1:37" ht="15" customHeight="1" x14ac:dyDescent="0.3">
      <c r="A12" s="135"/>
      <c r="B12" s="138"/>
      <c r="C12" s="10" t="s">
        <v>12</v>
      </c>
      <c r="D12" s="1"/>
      <c r="E12" s="5"/>
      <c r="F12" s="5"/>
      <c r="G12" s="11"/>
      <c r="H12" s="132"/>
      <c r="I12" s="132"/>
      <c r="J12" s="132"/>
    </row>
    <row r="13" spans="1:37" ht="15" customHeight="1" x14ac:dyDescent="0.3">
      <c r="A13" s="135"/>
      <c r="B13" s="138"/>
      <c r="C13" s="10" t="s">
        <v>13</v>
      </c>
      <c r="D13" s="1"/>
      <c r="E13" s="5"/>
      <c r="F13" s="5"/>
      <c r="G13" s="11"/>
      <c r="H13" s="132"/>
      <c r="I13" s="132"/>
      <c r="J13" s="132"/>
    </row>
    <row r="14" spans="1:37" ht="15" customHeight="1" x14ac:dyDescent="0.3">
      <c r="A14" s="135"/>
      <c r="B14" s="138"/>
      <c r="C14" s="10" t="s">
        <v>14</v>
      </c>
      <c r="D14" s="1"/>
      <c r="E14" s="5"/>
      <c r="F14" s="5"/>
      <c r="G14" s="11"/>
      <c r="H14" s="132"/>
      <c r="I14" s="132"/>
      <c r="J14" s="132"/>
    </row>
    <row r="15" spans="1:37" ht="15" customHeight="1" x14ac:dyDescent="0.3">
      <c r="A15" s="135"/>
      <c r="B15" s="138"/>
      <c r="C15" s="10" t="s">
        <v>8</v>
      </c>
      <c r="D15" s="12"/>
      <c r="E15" s="5"/>
      <c r="F15" s="13">
        <f>IF(D9="",0,1)+IF(D10="",0,1)+IF(D11="",0,1)+IF(D12="",0,1)+IF(D13="",0,1)+IF(D14="",0,1)</f>
        <v>0</v>
      </c>
      <c r="G15" s="11"/>
      <c r="H15" s="132"/>
      <c r="I15" s="132"/>
      <c r="J15" s="132"/>
    </row>
    <row r="16" spans="1:37" ht="6.75" customHeight="1" thickBot="1" x14ac:dyDescent="0.35">
      <c r="A16" s="136"/>
      <c r="B16" s="139"/>
      <c r="C16" s="14"/>
      <c r="D16" s="15"/>
      <c r="E16" s="15"/>
      <c r="F16" s="15"/>
      <c r="G16" s="16"/>
      <c r="H16" s="133"/>
      <c r="I16" s="133"/>
      <c r="J16" s="133"/>
    </row>
    <row r="17" spans="1:21" ht="15" customHeight="1" thickBot="1" x14ac:dyDescent="0.35">
      <c r="A17" s="93"/>
      <c r="B17" s="94" t="s">
        <v>23</v>
      </c>
      <c r="C17" s="95"/>
      <c r="D17" s="95"/>
      <c r="E17" s="95"/>
      <c r="F17" s="95"/>
      <c r="G17" s="95"/>
      <c r="H17" s="95"/>
      <c r="I17" s="95"/>
      <c r="J17" s="96"/>
    </row>
    <row r="18" spans="1:21" ht="6.75" customHeight="1" x14ac:dyDescent="0.3">
      <c r="A18" s="134">
        <v>2</v>
      </c>
      <c r="B18" s="144" t="s">
        <v>152</v>
      </c>
      <c r="C18" s="7"/>
      <c r="D18" s="8"/>
      <c r="E18" s="8"/>
      <c r="F18" s="8"/>
      <c r="G18" s="9"/>
      <c r="H18" s="131" t="str">
        <f>IF(AND(build_silver_score="",build_gold_score=""),IF(bronze_met=TRUE,build_bronze_score,""),"")</f>
        <v/>
      </c>
      <c r="I18" s="131" t="str">
        <f>IF(AND(build_gold_score="",bronze_met=TRUE,recruitment_event&lt;&gt;"",OR(F31&gt;L22,AND(num_scouts&lt;gold_auto_score,num_scouts&gt;=silver_auto_score))),build_silver_points,"")</f>
        <v/>
      </c>
      <c r="J18" s="131" t="str">
        <f>IF(AND(bronze_met=TRUE,OR(K24=111,num_scouts&gt;=gold_auto_score)),build_gold_points,"")</f>
        <v/>
      </c>
    </row>
    <row r="19" spans="1:21" ht="3" customHeight="1" x14ac:dyDescent="0.3">
      <c r="A19" s="135"/>
      <c r="B19" s="147"/>
      <c r="C19" s="109"/>
      <c r="G19" s="17"/>
      <c r="H19" s="132"/>
      <c r="I19" s="132"/>
      <c r="J19" s="132"/>
    </row>
    <row r="20" spans="1:21" ht="11.1" customHeight="1" x14ac:dyDescent="0.3">
      <c r="A20" s="135"/>
      <c r="B20" s="147"/>
      <c r="C20" s="142" t="s">
        <v>135</v>
      </c>
      <c r="D20" s="143"/>
      <c r="G20" s="17"/>
      <c r="H20" s="132"/>
      <c r="I20" s="132"/>
      <c r="J20" s="132"/>
      <c r="N20" s="101" t="b">
        <v>0</v>
      </c>
    </row>
    <row r="21" spans="1:21" ht="15" customHeight="1" x14ac:dyDescent="0.3">
      <c r="A21" s="135"/>
      <c r="B21" s="147"/>
      <c r="C21" s="113" t="s">
        <v>134</v>
      </c>
      <c r="D21" s="1"/>
      <c r="G21" s="17"/>
      <c r="H21" s="132"/>
      <c r="I21" s="132"/>
      <c r="J21" s="132"/>
      <c r="K21" s="4">
        <v>50</v>
      </c>
      <c r="L21" s="5">
        <v>100</v>
      </c>
      <c r="M21" s="5">
        <v>200</v>
      </c>
      <c r="N21" s="101" t="b">
        <v>0</v>
      </c>
    </row>
    <row r="22" spans="1:21" ht="15" customHeight="1" x14ac:dyDescent="0.3">
      <c r="A22" s="135"/>
      <c r="B22" s="145"/>
      <c r="C22" s="20" t="str">
        <f>IF('Setup &amp; Instructions'!C9=44561," Count: Number of Scouts registered at start of this year's charter (1/1/2021)"," Count: Number of Scouts registered at start of this year's charter ("&amp;MONTH('Setup &amp; Instructions'!C9+1)&amp;"/"&amp;DAY('Setup &amp; Instructions'!C9+1)&amp;"/"&amp;YEAR('Setup &amp; Instructions'!C9)-1&amp;")")</f>
        <v xml:space="preserve"> Count: Number of Scouts registered at start of this year's charter (1/1/1899)</v>
      </c>
      <c r="D22" s="2"/>
      <c r="E22" s="5" t="s">
        <v>123</v>
      </c>
      <c r="F22" s="5"/>
      <c r="G22" s="11"/>
      <c r="H22" s="132"/>
      <c r="I22" s="132"/>
      <c r="J22" s="132"/>
      <c r="K22" s="100"/>
      <c r="L22" s="5">
        <v>0.05</v>
      </c>
      <c r="M22" s="5">
        <v>0.1</v>
      </c>
      <c r="N22" s="5" t="b">
        <f>IF(AND(beascout_flag=TRUE, recruitment_event&lt;&gt;""),TRUE,FALSE)</f>
        <v>0</v>
      </c>
    </row>
    <row r="23" spans="1:21" ht="15" hidden="1" customHeight="1" x14ac:dyDescent="0.3">
      <c r="A23" s="135"/>
      <c r="B23" s="145"/>
      <c r="C23" s="6" t="s">
        <v>131</v>
      </c>
      <c r="D23" s="116"/>
      <c r="E23" s="5" t="s">
        <v>124</v>
      </c>
      <c r="F23" s="5"/>
      <c r="G23" s="11"/>
      <c r="H23" s="132"/>
      <c r="I23" s="132"/>
      <c r="J23" s="132"/>
      <c r="K23" s="4">
        <v>1</v>
      </c>
      <c r="L23" s="5">
        <v>25</v>
      </c>
      <c r="M23" s="5">
        <v>35</v>
      </c>
      <c r="O23" s="121"/>
      <c r="T23" s="124" t="s">
        <v>153</v>
      </c>
      <c r="U23" s="125"/>
    </row>
    <row r="24" spans="1:21" ht="15" customHeight="1" x14ac:dyDescent="0.3">
      <c r="A24" s="135"/>
      <c r="B24" s="145"/>
      <c r="C24" s="6" t="str">
        <f>IF($N$20,"    Less: Transfers to other units during the year","")</f>
        <v/>
      </c>
      <c r="D24" s="110"/>
      <c r="E24" s="5" t="str">
        <f>IF($N$20,"B","")</f>
        <v/>
      </c>
      <c r="F24" s="5" t="str">
        <f>IF(AND($N$20=FALSE,D24&gt;0),"ERROR","")</f>
        <v/>
      </c>
      <c r="G24" s="11"/>
      <c r="H24" s="132"/>
      <c r="I24" s="132"/>
      <c r="J24" s="132"/>
      <c r="K24" s="4">
        <f>IF(AND(D21&lt;&gt;"",num_scouts&gt;D22),1,0)+IF(OR(F31&gt;=L22,D30&gt;=L23),10,0)+IF(OR(F31&gt;=M22,D30&gt;=M23),100,0)</f>
        <v>0</v>
      </c>
      <c r="L24" s="107">
        <f>(D23+D24)</f>
        <v>0</v>
      </c>
    </row>
    <row r="25" spans="1:21" ht="15" customHeight="1" x14ac:dyDescent="0.3">
      <c r="A25" s="135"/>
      <c r="B25" s="145"/>
      <c r="C25" s="111" t="s">
        <v>130</v>
      </c>
      <c r="D25" s="2"/>
      <c r="E25" s="5" t="s">
        <v>138</v>
      </c>
      <c r="F25" s="5"/>
      <c r="G25" s="11"/>
      <c r="H25" s="132"/>
      <c r="I25" s="132"/>
      <c r="J25" s="132"/>
      <c r="L25" s="107"/>
    </row>
    <row r="26" spans="1:21" ht="15" customHeight="1" x14ac:dyDescent="0.3">
      <c r="A26" s="135"/>
      <c r="B26" s="145"/>
      <c r="C26" s="117" t="s">
        <v>145</v>
      </c>
      <c r="D26" s="2"/>
      <c r="E26" s="5" t="s">
        <v>125</v>
      </c>
      <c r="F26" s="5"/>
      <c r="G26" s="11"/>
      <c r="H26" s="132"/>
      <c r="I26" s="132"/>
      <c r="J26" s="132"/>
      <c r="K26" s="4">
        <f>IF(AND((N21=TRUE),(D21&lt;&gt;"")),1,0)</f>
        <v>0</v>
      </c>
      <c r="L26" s="107">
        <f>(D26+D27+D28)</f>
        <v>0</v>
      </c>
    </row>
    <row r="27" spans="1:21" ht="15" customHeight="1" x14ac:dyDescent="0.3">
      <c r="A27" s="135"/>
      <c r="B27" s="145"/>
      <c r="C27" s="111" t="s">
        <v>140</v>
      </c>
      <c r="D27" s="2"/>
      <c r="E27" s="5" t="s">
        <v>126</v>
      </c>
      <c r="F27" s="5"/>
      <c r="G27" s="11"/>
      <c r="H27" s="132"/>
      <c r="I27" s="132"/>
      <c r="J27" s="132"/>
      <c r="L27" s="122">
        <f>D30-D22</f>
        <v>0</v>
      </c>
    </row>
    <row r="28" spans="1:21" ht="15" customHeight="1" x14ac:dyDescent="0.3">
      <c r="A28" s="135"/>
      <c r="B28" s="145"/>
      <c r="C28" s="111" t="str">
        <f>IF($N$20,"    Plus: Transfers from other units during the year","")</f>
        <v/>
      </c>
      <c r="D28" s="110"/>
      <c r="E28" s="5" t="str">
        <f>IF($N$20,"F","")</f>
        <v/>
      </c>
      <c r="F28" s="5" t="str">
        <f>IF(AND($N$20=FALSE,D28&gt;0),"ERROR","")</f>
        <v/>
      </c>
      <c r="G28" s="11"/>
      <c r="H28" s="132"/>
      <c r="I28" s="132"/>
      <c r="J28" s="132"/>
    </row>
    <row r="29" spans="1:21" ht="15" customHeight="1" x14ac:dyDescent="0.3">
      <c r="A29" s="135"/>
      <c r="B29" s="145"/>
      <c r="C29" s="105" t="str">
        <f>" Count: Number of Scouts registered at end of this year's charter ("&amp;MONTH('Setup &amp; Instructions'!C9)&amp;"/"&amp;DAY('Setup &amp; Instructions'!C9)&amp;"/"&amp;YEAR('Setup &amp; Instructions'!C9)&amp;")"</f>
        <v xml:space="preserve"> Count: Number of Scouts registered at end of this year's charter (1/0/1900)</v>
      </c>
      <c r="D29" s="24"/>
      <c r="E29" s="5" t="s">
        <v>137</v>
      </c>
      <c r="F29" s="108">
        <f>D22+SUM(D26,D27,D28)-D24</f>
        <v>0</v>
      </c>
      <c r="G29" s="11"/>
      <c r="H29" s="132"/>
      <c r="I29" s="132"/>
      <c r="J29" s="132"/>
    </row>
    <row r="30" spans="1:21" ht="26.25" customHeight="1" x14ac:dyDescent="0.3">
      <c r="A30" s="135"/>
      <c r="B30" s="145"/>
      <c r="C30" s="114" t="str">
        <f>IF('Setup &amp; Instructions'!C9=44561," Count: Number of Scouts to be registered at the start of next year's charter (1/1/2022) including new applications submitted with charter renewal"," Count: Number of Scouts to be registered at the start of next year's charter ("&amp;MONTH('Setup &amp; Instructions'!C9+1)&amp;"/"&amp;DAY('Setup &amp; Instructions'!C9+1)&amp;"/"&amp;YEAR('Setup &amp; Instructions'!C9)&amp;") including new applications submitted with charter renewal")</f>
        <v xml:space="preserve"> Count: Number of Scouts to be registered at the start of next year's charter (1/1/1900) including new applications submitted with charter renewal</v>
      </c>
      <c r="D30" s="115"/>
      <c r="E30" s="5" t="s">
        <v>128</v>
      </c>
      <c r="F30" s="5"/>
      <c r="G30" s="11"/>
      <c r="H30" s="132"/>
      <c r="I30" s="132"/>
      <c r="J30" s="132"/>
    </row>
    <row r="31" spans="1:21" ht="15" customHeight="1" x14ac:dyDescent="0.3">
      <c r="A31" s="135"/>
      <c r="B31" s="145"/>
      <c r="C31" s="23" t="s">
        <v>109</v>
      </c>
      <c r="E31" s="5"/>
      <c r="F31" s="19">
        <f>IF(D22=0,0,D30/D22-1)</f>
        <v>0</v>
      </c>
      <c r="G31" s="11"/>
      <c r="H31" s="132"/>
      <c r="I31" s="132"/>
      <c r="J31" s="132"/>
    </row>
    <row r="32" spans="1:21" ht="15" customHeight="1" thickBot="1" x14ac:dyDescent="0.35">
      <c r="A32" s="136"/>
      <c r="B32" s="146"/>
      <c r="C32" s="112" t="s">
        <v>122</v>
      </c>
      <c r="D32" s="15"/>
      <c r="E32" s="15"/>
      <c r="F32" s="15"/>
      <c r="G32" s="16"/>
      <c r="H32" s="133"/>
      <c r="I32" s="133"/>
      <c r="J32" s="133"/>
    </row>
    <row r="33" spans="1:13" ht="6.75" customHeight="1" x14ac:dyDescent="0.3">
      <c r="A33" s="134">
        <v>3</v>
      </c>
      <c r="B33" s="144" t="s">
        <v>142</v>
      </c>
      <c r="C33" s="7"/>
      <c r="D33" s="8"/>
      <c r="E33" s="8"/>
      <c r="F33" s="8"/>
      <c r="G33" s="9"/>
      <c r="H33" s="131" t="str">
        <f>IF(K37=1,K34,IF(K37=101,K34,""))</f>
        <v/>
      </c>
      <c r="I33" s="131" t="str">
        <f>IF(K37=11,L34,"")</f>
        <v/>
      </c>
      <c r="J33" s="131" t="str">
        <f>IF(K37=111,M34,"")</f>
        <v/>
      </c>
    </row>
    <row r="34" spans="1:13" ht="15" customHeight="1" x14ac:dyDescent="0.3">
      <c r="A34" s="135"/>
      <c r="B34" s="145"/>
      <c r="C34" s="23" t="str">
        <f>" Count: Number of Scouts to be registered at start of next year's charter ("&amp;MONTH('Setup &amp; Instructions'!C9+1)&amp;"/"&amp;DAY('Setup &amp; Instructions'!C9+1)&amp;"/"&amp;YEAR('Setup &amp; Instructions'!C9)&amp;")"</f>
        <v xml:space="preserve"> Count: Number of Scouts to be registered at start of next year's charter (1/1/1900)</v>
      </c>
      <c r="E34" s="5" t="s">
        <v>128</v>
      </c>
      <c r="F34" s="118">
        <f>D30</f>
        <v>0</v>
      </c>
      <c r="G34" s="11"/>
      <c r="H34" s="132"/>
      <c r="I34" s="132"/>
      <c r="J34" s="132"/>
      <c r="K34" s="4">
        <v>50</v>
      </c>
      <c r="L34" s="5">
        <v>100</v>
      </c>
      <c r="M34" s="5">
        <v>200</v>
      </c>
    </row>
    <row r="35" spans="1:13" ht="15" customHeight="1" x14ac:dyDescent="0.3">
      <c r="A35" s="135"/>
      <c r="B35" s="145"/>
      <c r="C35" s="23" t="str">
        <f>" Count: Number of NEW applications submitted with next year's charter "</f>
        <v xml:space="preserve"> Count: Number of NEW applications submitted with next year's charter </v>
      </c>
      <c r="D35" s="115"/>
      <c r="E35" s="5" t="s">
        <v>129</v>
      </c>
      <c r="F35" s="5"/>
      <c r="G35" s="11"/>
      <c r="H35" s="132"/>
      <c r="I35" s="132"/>
      <c r="J35" s="132"/>
      <c r="K35" s="5">
        <v>0.75</v>
      </c>
      <c r="L35" s="5">
        <v>0.8</v>
      </c>
      <c r="M35" s="5">
        <v>0.85</v>
      </c>
    </row>
    <row r="36" spans="1:13" ht="15" customHeight="1" x14ac:dyDescent="0.3">
      <c r="A36" s="135"/>
      <c r="B36" s="145"/>
      <c r="C36" s="5" t="s">
        <v>110</v>
      </c>
      <c r="E36" s="5" t="s">
        <v>136</v>
      </c>
      <c r="F36" s="13">
        <f>F29-D25</f>
        <v>0</v>
      </c>
      <c r="G36" s="11"/>
      <c r="H36" s="132"/>
      <c r="I36" s="132"/>
      <c r="J36" s="132"/>
      <c r="K36" s="5"/>
    </row>
    <row r="37" spans="1:13" ht="15" hidden="1" customHeight="1" x14ac:dyDescent="0.3">
      <c r="A37" s="135"/>
      <c r="B37" s="145"/>
      <c r="C37" s="5"/>
      <c r="G37" s="11"/>
      <c r="H37" s="132"/>
      <c r="I37" s="132"/>
      <c r="J37" s="132"/>
      <c r="K37" s="4">
        <f>IF(F38&gt;=K35,1,0)+IF(F38&gt;=L35,10,0)+IF(F38&gt;=M35,100,0)</f>
        <v>0</v>
      </c>
    </row>
    <row r="38" spans="1:13" ht="15" customHeight="1" x14ac:dyDescent="0.3">
      <c r="A38" s="135"/>
      <c r="B38" s="145"/>
      <c r="C38" s="6" t="s">
        <v>111</v>
      </c>
      <c r="D38" s="22"/>
      <c r="E38" s="5"/>
      <c r="F38" s="21">
        <f>IF(F36&lt;=0,0,IF(F34-D35&gt;=F36,1,(F34-D35)/F36))</f>
        <v>0</v>
      </c>
      <c r="G38" s="11"/>
      <c r="H38" s="132"/>
      <c r="I38" s="132"/>
      <c r="J38" s="132"/>
      <c r="M38" s="107">
        <f>D22-D24+D26+D27+D28-D25</f>
        <v>0</v>
      </c>
    </row>
    <row r="39" spans="1:13" ht="6.75" customHeight="1" thickBot="1" x14ac:dyDescent="0.35">
      <c r="A39" s="136"/>
      <c r="B39" s="146"/>
      <c r="C39" s="14"/>
      <c r="D39" s="15"/>
      <c r="E39" s="15"/>
      <c r="F39" s="15"/>
      <c r="G39" s="16"/>
      <c r="H39" s="133"/>
      <c r="I39" s="133"/>
      <c r="J39" s="133"/>
    </row>
    <row r="40" spans="1:13" ht="6.75" customHeight="1" x14ac:dyDescent="0.3">
      <c r="A40" s="134">
        <v>4</v>
      </c>
      <c r="B40" s="144" t="s">
        <v>143</v>
      </c>
      <c r="C40" s="7"/>
      <c r="D40" s="8"/>
      <c r="E40" s="8"/>
      <c r="F40" s="8"/>
      <c r="G40" s="9"/>
      <c r="H40" s="131" t="str">
        <f>IF(K44=1,K41,IF(K44=101,K41,""))</f>
        <v/>
      </c>
      <c r="I40" s="131" t="str">
        <f>IF(K44=11,L41,"")</f>
        <v/>
      </c>
      <c r="J40" s="131" t="str">
        <f>IF(K44=111,M41,"")</f>
        <v/>
      </c>
    </row>
    <row r="41" spans="1:13" ht="13.65" customHeight="1" x14ac:dyDescent="0.3">
      <c r="A41" s="135"/>
      <c r="B41" s="145"/>
      <c r="C41" s="113" t="s">
        <v>132</v>
      </c>
      <c r="D41" s="1"/>
      <c r="E41" s="5"/>
      <c r="F41" s="22"/>
      <c r="G41" s="11"/>
      <c r="H41" s="132"/>
      <c r="I41" s="132"/>
      <c r="J41" s="132"/>
      <c r="K41" s="4">
        <v>25</v>
      </c>
      <c r="L41" s="5">
        <v>50</v>
      </c>
      <c r="M41" s="5">
        <v>100</v>
      </c>
    </row>
    <row r="42" spans="1:13" x14ac:dyDescent="0.3">
      <c r="A42" s="135"/>
      <c r="B42" s="145"/>
      <c r="C42" s="113" t="s">
        <v>133</v>
      </c>
      <c r="D42" s="1"/>
      <c r="E42" s="5"/>
      <c r="F42" s="22"/>
      <c r="G42" s="11"/>
      <c r="H42" s="132"/>
      <c r="I42" s="132"/>
      <c r="J42" s="132"/>
      <c r="K42" s="5">
        <v>2</v>
      </c>
      <c r="L42" s="5">
        <v>2</v>
      </c>
      <c r="M42" s="5">
        <v>5</v>
      </c>
    </row>
    <row r="43" spans="1:13" x14ac:dyDescent="0.3">
      <c r="A43" s="135"/>
      <c r="B43" s="145"/>
      <c r="C43" s="4" t="s">
        <v>139</v>
      </c>
      <c r="D43" s="22"/>
      <c r="E43" s="5"/>
      <c r="F43" s="18">
        <f>D27</f>
        <v>0</v>
      </c>
      <c r="G43" s="11"/>
      <c r="H43" s="132"/>
      <c r="I43" s="132"/>
      <c r="J43" s="132"/>
      <c r="K43" s="5">
        <v>0.75</v>
      </c>
      <c r="M43" s="5">
        <v>1</v>
      </c>
    </row>
    <row r="44" spans="1:13" ht="13.65" customHeight="1" x14ac:dyDescent="0.3">
      <c r="A44" s="135"/>
      <c r="B44" s="145"/>
      <c r="C44" s="23" t="s">
        <v>64</v>
      </c>
      <c r="D44" s="2"/>
      <c r="E44" s="5"/>
      <c r="G44" s="11"/>
      <c r="H44" s="132"/>
      <c r="I44" s="132"/>
      <c r="J44" s="132"/>
      <c r="K44" s="4">
        <f>IF(OR(D41="",D42=""),0,1)+IF(F43&gt;=L42,10,0)+IF(AND(F43&gt;=M42,D44&gt;=M43),100,0)</f>
        <v>0</v>
      </c>
    </row>
    <row r="45" spans="1:13" ht="6.75" customHeight="1" thickBot="1" x14ac:dyDescent="0.35">
      <c r="A45" s="136"/>
      <c r="B45" s="146"/>
      <c r="C45" s="14"/>
      <c r="D45" s="15"/>
      <c r="E45" s="15"/>
      <c r="F45" s="15"/>
      <c r="G45" s="16"/>
      <c r="H45" s="133"/>
      <c r="I45" s="133"/>
      <c r="J45" s="133"/>
      <c r="K45" s="5"/>
    </row>
    <row r="46" spans="1:13" ht="15" customHeight="1" thickBot="1" x14ac:dyDescent="0.35">
      <c r="A46" s="93"/>
      <c r="B46" s="94" t="s">
        <v>25</v>
      </c>
      <c r="C46" s="95"/>
      <c r="D46" s="95"/>
      <c r="E46" s="95"/>
      <c r="F46" s="95"/>
      <c r="G46" s="95"/>
      <c r="H46" s="95"/>
      <c r="I46" s="95"/>
      <c r="J46" s="96"/>
      <c r="K46" s="5"/>
    </row>
    <row r="47" spans="1:13" ht="6.75" customHeight="1" x14ac:dyDescent="0.3">
      <c r="A47" s="134">
        <v>5</v>
      </c>
      <c r="B47" s="144" t="s">
        <v>154</v>
      </c>
      <c r="C47" s="7"/>
      <c r="D47" s="8"/>
      <c r="E47" s="8"/>
      <c r="F47" s="8"/>
      <c r="G47" s="9"/>
      <c r="H47" s="131" t="str">
        <f>IF(K50=1,K48,"")</f>
        <v/>
      </c>
      <c r="I47" s="131" t="str">
        <f>IF(K50=11,L48,"")</f>
        <v/>
      </c>
      <c r="J47" s="131" t="str">
        <f>IF(K50=111,M48,"")</f>
        <v/>
      </c>
    </row>
    <row r="48" spans="1:13" ht="14.25" customHeight="1" x14ac:dyDescent="0.3">
      <c r="A48" s="135"/>
      <c r="B48" s="147"/>
      <c r="C48" s="23" t="s">
        <v>151</v>
      </c>
      <c r="D48" s="2"/>
      <c r="E48" s="5"/>
      <c r="G48" s="17"/>
      <c r="H48" s="132"/>
      <c r="I48" s="132"/>
      <c r="J48" s="132"/>
      <c r="K48" s="4">
        <v>50</v>
      </c>
      <c r="L48" s="5">
        <v>100</v>
      </c>
      <c r="M48" s="5">
        <v>200</v>
      </c>
    </row>
    <row r="49" spans="1:13" ht="14.25" customHeight="1" x14ac:dyDescent="0.3">
      <c r="A49" s="135"/>
      <c r="B49" s="147"/>
      <c r="C49" s="23" t="s">
        <v>119</v>
      </c>
      <c r="D49" s="2"/>
      <c r="E49" s="5"/>
      <c r="G49" s="11"/>
      <c r="H49" s="132"/>
      <c r="I49" s="132"/>
      <c r="J49" s="132"/>
      <c r="K49" s="5">
        <v>0.4</v>
      </c>
      <c r="L49" s="5">
        <v>0.5</v>
      </c>
      <c r="M49" s="5">
        <v>0.6</v>
      </c>
    </row>
    <row r="50" spans="1:13" ht="13.65" customHeight="1" x14ac:dyDescent="0.3">
      <c r="A50" s="135"/>
      <c r="B50" s="147"/>
      <c r="C50" s="5" t="s">
        <v>113</v>
      </c>
      <c r="D50" s="22"/>
      <c r="E50" s="5"/>
      <c r="F50" s="21">
        <f>IF(D48=0,0,IF(D49&gt;D48,1,D49/D48))</f>
        <v>0</v>
      </c>
      <c r="G50" s="11"/>
      <c r="H50" s="132"/>
      <c r="I50" s="132"/>
      <c r="J50" s="132"/>
      <c r="K50" s="5">
        <f>IF(F50&gt;=K49,1,0)+IF(F50&gt;=L49,10,0)+IF(F50&gt;=M49,100,0)</f>
        <v>0</v>
      </c>
    </row>
    <row r="51" spans="1:13" ht="6.75" customHeight="1" thickBot="1" x14ac:dyDescent="0.35">
      <c r="A51" s="136"/>
      <c r="B51" s="148"/>
      <c r="C51" s="14"/>
      <c r="D51" s="15"/>
      <c r="E51" s="15"/>
      <c r="F51" s="15"/>
      <c r="G51" s="16"/>
      <c r="H51" s="133"/>
      <c r="I51" s="133"/>
      <c r="J51" s="133"/>
    </row>
    <row r="52" spans="1:13" ht="6.75" customHeight="1" x14ac:dyDescent="0.3">
      <c r="A52" s="134">
        <v>6</v>
      </c>
      <c r="B52" s="137" t="s">
        <v>155</v>
      </c>
      <c r="C52" s="7"/>
      <c r="D52" s="8"/>
      <c r="E52" s="8"/>
      <c r="F52" s="8"/>
      <c r="G52" s="9"/>
      <c r="H52" s="131" t="str">
        <f>IF(K55=1,K53,"")</f>
        <v/>
      </c>
      <c r="I52" s="131" t="str">
        <f>IF(K55=11,L53,"")</f>
        <v/>
      </c>
      <c r="J52" s="131" t="str">
        <f>IF(K55=111,M53,"")</f>
        <v/>
      </c>
    </row>
    <row r="53" spans="1:13" ht="14.25" customHeight="1" x14ac:dyDescent="0.3">
      <c r="A53" s="135"/>
      <c r="B53" s="138"/>
      <c r="C53" s="20" t="s">
        <v>65</v>
      </c>
      <c r="D53" s="1"/>
      <c r="E53" s="5"/>
      <c r="F53" s="5"/>
      <c r="G53" s="11"/>
      <c r="H53" s="132"/>
      <c r="I53" s="132"/>
      <c r="J53" s="132"/>
      <c r="K53" s="4">
        <v>50</v>
      </c>
      <c r="L53" s="5">
        <v>100</v>
      </c>
      <c r="M53" s="5">
        <v>200</v>
      </c>
    </row>
    <row r="54" spans="1:13" x14ac:dyDescent="0.3">
      <c r="A54" s="135"/>
      <c r="B54" s="138"/>
      <c r="C54" s="20" t="s">
        <v>66</v>
      </c>
      <c r="D54" s="1"/>
      <c r="E54" s="5"/>
      <c r="F54" s="5"/>
      <c r="G54" s="11"/>
      <c r="H54" s="132"/>
      <c r="I54" s="132"/>
      <c r="J54" s="132"/>
      <c r="K54" s="5">
        <v>4</v>
      </c>
      <c r="L54" s="5">
        <v>7</v>
      </c>
      <c r="M54" s="5">
        <v>9</v>
      </c>
    </row>
    <row r="55" spans="1:13" x14ac:dyDescent="0.3">
      <c r="A55" s="135"/>
      <c r="B55" s="138"/>
      <c r="C55" s="20" t="s">
        <v>67</v>
      </c>
      <c r="D55" s="1"/>
      <c r="E55" s="5"/>
      <c r="F55" s="5"/>
      <c r="G55" s="11"/>
      <c r="H55" s="132"/>
      <c r="I55" s="132"/>
      <c r="J55" s="132"/>
      <c r="K55" s="4">
        <f>IF(F62&gt;=K54,1,0)+IF(F62&gt;=L54,10,0)+IF(F62&gt;=M54,100,0)</f>
        <v>0</v>
      </c>
    </row>
    <row r="56" spans="1:13" x14ac:dyDescent="0.3">
      <c r="A56" s="135"/>
      <c r="B56" s="138"/>
      <c r="C56" s="20" t="s">
        <v>68</v>
      </c>
      <c r="D56" s="1"/>
      <c r="E56" s="5"/>
      <c r="F56" s="5"/>
      <c r="G56" s="11"/>
      <c r="H56" s="132"/>
      <c r="I56" s="132"/>
      <c r="J56" s="132"/>
    </row>
    <row r="57" spans="1:13" x14ac:dyDescent="0.3">
      <c r="A57" s="135"/>
      <c r="B57" s="138"/>
      <c r="C57" s="20" t="s">
        <v>69</v>
      </c>
      <c r="D57" s="1"/>
      <c r="E57" s="5"/>
      <c r="F57" s="5"/>
      <c r="G57" s="11"/>
      <c r="H57" s="132"/>
      <c r="I57" s="132"/>
      <c r="J57" s="132"/>
    </row>
    <row r="58" spans="1:13" x14ac:dyDescent="0.3">
      <c r="A58" s="135"/>
      <c r="B58" s="138"/>
      <c r="C58" s="20" t="s">
        <v>70</v>
      </c>
      <c r="D58" s="1"/>
      <c r="E58" s="5"/>
      <c r="F58" s="5"/>
      <c r="G58" s="11"/>
      <c r="H58" s="132"/>
      <c r="I58" s="132"/>
      <c r="J58" s="132"/>
    </row>
    <row r="59" spans="1:13" x14ac:dyDescent="0.3">
      <c r="A59" s="135"/>
      <c r="B59" s="138"/>
      <c r="C59" s="20" t="s">
        <v>71</v>
      </c>
      <c r="D59" s="1"/>
      <c r="E59" s="5"/>
      <c r="F59" s="5"/>
      <c r="G59" s="11"/>
      <c r="H59" s="132"/>
      <c r="I59" s="132"/>
      <c r="J59" s="132"/>
    </row>
    <row r="60" spans="1:13" x14ac:dyDescent="0.3">
      <c r="A60" s="135"/>
      <c r="B60" s="138"/>
      <c r="C60" s="20" t="s">
        <v>72</v>
      </c>
      <c r="D60" s="1"/>
      <c r="E60" s="5"/>
      <c r="F60" s="5"/>
      <c r="G60" s="11"/>
      <c r="H60" s="132"/>
      <c r="I60" s="132"/>
      <c r="J60" s="132"/>
    </row>
    <row r="61" spans="1:13" x14ac:dyDescent="0.3">
      <c r="A61" s="135"/>
      <c r="B61" s="138"/>
      <c r="C61" s="20" t="s">
        <v>73</v>
      </c>
      <c r="D61" s="1"/>
      <c r="E61" s="5"/>
      <c r="F61" s="5"/>
      <c r="G61" s="11"/>
      <c r="H61" s="132"/>
      <c r="I61" s="132"/>
      <c r="J61" s="132"/>
    </row>
    <row r="62" spans="1:13" x14ac:dyDescent="0.3">
      <c r="A62" s="135"/>
      <c r="B62" s="138"/>
      <c r="C62" s="10" t="s">
        <v>74</v>
      </c>
      <c r="D62" s="12"/>
      <c r="E62" s="5"/>
      <c r="F62" s="13">
        <f>IF(D53="",0,1)+IF(D54="",0,1)+IF(D55="",0,1)++IF(D56="",0,1)+IF(D57="",0,1)+IF(D58="",0,1)+IF(D59="",0,1)+IF(D60="",0,1)+IF(D61="",0,1)</f>
        <v>0</v>
      </c>
      <c r="G62" s="11"/>
      <c r="H62" s="132"/>
      <c r="I62" s="132"/>
      <c r="J62" s="132"/>
    </row>
    <row r="63" spans="1:13" ht="6.75" customHeight="1" thickBot="1" x14ac:dyDescent="0.35">
      <c r="A63" s="136"/>
      <c r="B63" s="139"/>
      <c r="C63" s="14"/>
      <c r="D63" s="15"/>
      <c r="E63" s="15"/>
      <c r="F63" s="15"/>
      <c r="G63" s="16"/>
      <c r="H63" s="133"/>
      <c r="I63" s="133"/>
      <c r="J63" s="133"/>
    </row>
    <row r="64" spans="1:13" ht="6.75" customHeight="1" x14ac:dyDescent="0.3">
      <c r="A64" s="134">
        <v>7</v>
      </c>
      <c r="B64" s="137" t="s">
        <v>156</v>
      </c>
      <c r="C64" s="7"/>
      <c r="D64" s="8"/>
      <c r="E64" s="8"/>
      <c r="F64" s="8"/>
      <c r="G64" s="9"/>
      <c r="H64" s="131" t="str">
        <f>IF(K67=1,K65,"")</f>
        <v/>
      </c>
      <c r="I64" s="131" t="str">
        <f>IF(K67=11,L65,"")</f>
        <v/>
      </c>
      <c r="J64" s="131" t="str">
        <f>IF(K67=111,M65,"")</f>
        <v/>
      </c>
    </row>
    <row r="65" spans="1:14" x14ac:dyDescent="0.3">
      <c r="A65" s="135"/>
      <c r="B65" s="138"/>
      <c r="C65" s="23" t="s">
        <v>120</v>
      </c>
      <c r="D65" s="2"/>
      <c r="E65" s="5"/>
      <c r="G65" s="11"/>
      <c r="H65" s="132"/>
      <c r="I65" s="132"/>
      <c r="J65" s="132"/>
      <c r="K65" s="4">
        <v>50</v>
      </c>
      <c r="L65" s="5">
        <v>100</v>
      </c>
      <c r="M65" s="5">
        <v>200</v>
      </c>
    </row>
    <row r="66" spans="1:14" x14ac:dyDescent="0.3">
      <c r="A66" s="135"/>
      <c r="B66" s="138"/>
      <c r="C66" s="23" t="s">
        <v>121</v>
      </c>
      <c r="D66" s="2"/>
      <c r="E66" s="5"/>
      <c r="F66" s="5"/>
      <c r="G66" s="11"/>
      <c r="H66" s="132"/>
      <c r="I66" s="132"/>
      <c r="J66" s="132"/>
      <c r="K66" s="5">
        <v>0</v>
      </c>
      <c r="L66" s="5">
        <v>0.6</v>
      </c>
      <c r="M66" s="5">
        <v>0.7</v>
      </c>
    </row>
    <row r="67" spans="1:14" x14ac:dyDescent="0.3">
      <c r="A67" s="135"/>
      <c r="B67" s="138"/>
      <c r="C67" s="20" t="s">
        <v>15</v>
      </c>
      <c r="D67" s="24"/>
      <c r="E67" s="5"/>
      <c r="F67" s="21">
        <f>IF(D65=0,0,IF(D66&gt;D65,1,D66/D65))</f>
        <v>0</v>
      </c>
      <c r="G67" s="11"/>
      <c r="H67" s="132"/>
      <c r="I67" s="132"/>
      <c r="J67" s="132"/>
      <c r="K67" s="4">
        <f>IF(F67&gt;K66,1,0)+IF(F67&gt;=L66,10,0)+IF(F67&gt;=M66,100,0)</f>
        <v>0</v>
      </c>
    </row>
    <row r="68" spans="1:14" ht="15.75" customHeight="1" thickBot="1" x14ac:dyDescent="0.35">
      <c r="A68" s="136"/>
      <c r="B68" s="139"/>
      <c r="C68" s="14"/>
      <c r="D68" s="15"/>
      <c r="E68" s="15"/>
      <c r="F68" s="15"/>
      <c r="G68" s="16"/>
      <c r="H68" s="133"/>
      <c r="I68" s="133"/>
      <c r="J68" s="133"/>
    </row>
    <row r="69" spans="1:14" ht="6.75" customHeight="1" x14ac:dyDescent="0.3">
      <c r="A69" s="134">
        <v>8</v>
      </c>
      <c r="B69" s="137" t="s">
        <v>157</v>
      </c>
      <c r="C69" s="7"/>
      <c r="D69" s="8"/>
      <c r="E69" s="8"/>
      <c r="F69" s="8"/>
      <c r="G69" s="9"/>
      <c r="H69" s="131" t="str">
        <f>IF(K73=1,K70,"")</f>
        <v/>
      </c>
      <c r="I69" s="131" t="str">
        <f>IF(K73=11,L70,"")</f>
        <v/>
      </c>
      <c r="J69" s="131" t="str">
        <f>IF(K73=111,M70,"")</f>
        <v/>
      </c>
    </row>
    <row r="70" spans="1:14" ht="15" customHeight="1" x14ac:dyDescent="0.3">
      <c r="A70" s="135"/>
      <c r="B70" s="138"/>
      <c r="C70" s="10" t="s">
        <v>127</v>
      </c>
      <c r="E70" s="25" t="b">
        <v>1</v>
      </c>
      <c r="F70" s="5"/>
      <c r="G70" s="11"/>
      <c r="H70" s="132"/>
      <c r="I70" s="132"/>
      <c r="J70" s="132"/>
      <c r="K70" s="4">
        <v>25</v>
      </c>
      <c r="L70" s="5">
        <v>50</v>
      </c>
      <c r="M70" s="5">
        <v>100</v>
      </c>
      <c r="N70" s="101" t="b">
        <v>0</v>
      </c>
    </row>
    <row r="71" spans="1:14" x14ac:dyDescent="0.3">
      <c r="A71" s="135"/>
      <c r="B71" s="138"/>
      <c r="C71" s="10" t="s">
        <v>75</v>
      </c>
      <c r="E71" s="25" t="b">
        <v>0</v>
      </c>
      <c r="F71" s="5"/>
      <c r="G71" s="11"/>
      <c r="H71" s="132"/>
      <c r="I71" s="132"/>
      <c r="J71" s="132"/>
      <c r="K71" s="5">
        <v>3</v>
      </c>
      <c r="L71" s="5">
        <v>4</v>
      </c>
      <c r="M71" s="5">
        <v>5</v>
      </c>
      <c r="N71" s="101" t="b">
        <v>0</v>
      </c>
    </row>
    <row r="72" spans="1:14" x14ac:dyDescent="0.3">
      <c r="A72" s="135"/>
      <c r="B72" s="138"/>
      <c r="C72" s="20" t="s">
        <v>16</v>
      </c>
      <c r="D72" s="1"/>
      <c r="E72" s="5"/>
      <c r="F72" s="5"/>
      <c r="G72" s="11"/>
      <c r="H72" s="132"/>
      <c r="I72" s="132"/>
      <c r="J72" s="132"/>
      <c r="K72" s="5"/>
    </row>
    <row r="73" spans="1:14" x14ac:dyDescent="0.3">
      <c r="A73" s="135"/>
      <c r="B73" s="138"/>
      <c r="C73" s="20" t="s">
        <v>17</v>
      </c>
      <c r="D73" s="1"/>
      <c r="E73" s="5"/>
      <c r="F73" s="5"/>
      <c r="G73" s="11"/>
      <c r="H73" s="132"/>
      <c r="I73" s="132"/>
      <c r="J73" s="132"/>
      <c r="K73" s="4">
        <f>IF(AND(N70=TRUE,N71=TRUE,F77&gt;=K71),1,0)+IF(F77&gt;=L71,10,0)+IF(F77&gt;=M71,100,0)</f>
        <v>0</v>
      </c>
    </row>
    <row r="74" spans="1:14" x14ac:dyDescent="0.3">
      <c r="A74" s="135"/>
      <c r="B74" s="138"/>
      <c r="C74" s="20" t="s">
        <v>18</v>
      </c>
      <c r="D74" s="1"/>
      <c r="E74" s="5"/>
      <c r="F74" s="5"/>
      <c r="G74" s="11"/>
      <c r="H74" s="132"/>
      <c r="I74" s="132"/>
      <c r="J74" s="132"/>
    </row>
    <row r="75" spans="1:14" x14ac:dyDescent="0.3">
      <c r="A75" s="135"/>
      <c r="B75" s="138"/>
      <c r="C75" s="20" t="s">
        <v>76</v>
      </c>
      <c r="D75" s="1"/>
      <c r="E75" s="5"/>
      <c r="F75" s="5"/>
      <c r="G75" s="11"/>
      <c r="H75" s="132"/>
      <c r="I75" s="132"/>
      <c r="J75" s="132"/>
    </row>
    <row r="76" spans="1:14" x14ac:dyDescent="0.3">
      <c r="A76" s="135"/>
      <c r="B76" s="138"/>
      <c r="C76" s="20" t="s">
        <v>77</v>
      </c>
      <c r="D76" s="1"/>
      <c r="E76" s="5"/>
      <c r="F76" s="5"/>
      <c r="G76" s="11"/>
      <c r="H76" s="132"/>
      <c r="I76" s="132"/>
      <c r="J76" s="132"/>
    </row>
    <row r="77" spans="1:14" x14ac:dyDescent="0.3">
      <c r="A77" s="135"/>
      <c r="B77" s="138"/>
      <c r="C77" s="10" t="s">
        <v>19</v>
      </c>
      <c r="D77" s="12"/>
      <c r="E77" s="5"/>
      <c r="F77" s="13">
        <f>IF(D72="",0,1)+IF(D73="",0,1)+IF(D74="",0,1)+IF(D75="",0,1)+IF(D76="",0,1)</f>
        <v>0</v>
      </c>
      <c r="G77" s="11"/>
      <c r="H77" s="132"/>
      <c r="I77" s="132"/>
      <c r="J77" s="132"/>
    </row>
    <row r="78" spans="1:14" ht="6.75" customHeight="1" thickBot="1" x14ac:dyDescent="0.35">
      <c r="A78" s="136"/>
      <c r="B78" s="139"/>
      <c r="C78" s="14"/>
      <c r="D78" s="15"/>
      <c r="E78" s="15"/>
      <c r="F78" s="15"/>
      <c r="G78" s="16"/>
      <c r="H78" s="133"/>
      <c r="I78" s="133"/>
      <c r="J78" s="133"/>
    </row>
    <row r="79" spans="1:14" ht="6.75" customHeight="1" x14ac:dyDescent="0.3">
      <c r="A79" s="134">
        <v>9</v>
      </c>
      <c r="B79" s="137" t="s">
        <v>158</v>
      </c>
      <c r="C79" s="7"/>
      <c r="D79" s="8"/>
      <c r="E79" s="8"/>
      <c r="F79" s="8"/>
      <c r="G79" s="9"/>
      <c r="H79" s="131" t="str">
        <f>IF(OR(K83=1,K83=101),K80,"")</f>
        <v/>
      </c>
      <c r="I79" s="131" t="str">
        <f>IF(K83=11,L80,"")</f>
        <v/>
      </c>
      <c r="J79" s="131" t="str">
        <f>IF(K83=111,M80,"")</f>
        <v/>
      </c>
    </row>
    <row r="80" spans="1:14" x14ac:dyDescent="0.3">
      <c r="A80" s="135"/>
      <c r="B80" s="138"/>
      <c r="C80" s="10" t="s">
        <v>78</v>
      </c>
      <c r="E80" s="26" t="b">
        <v>0</v>
      </c>
      <c r="G80" s="17"/>
      <c r="H80" s="132"/>
      <c r="I80" s="132"/>
      <c r="J80" s="132"/>
      <c r="K80" s="4">
        <v>50</v>
      </c>
      <c r="L80" s="5">
        <v>100</v>
      </c>
      <c r="M80" s="5">
        <v>200</v>
      </c>
      <c r="N80" s="101" t="b">
        <v>0</v>
      </c>
    </row>
    <row r="81" spans="1:14" x14ac:dyDescent="0.3">
      <c r="A81" s="135"/>
      <c r="B81" s="138"/>
      <c r="C81" s="10" t="s">
        <v>79</v>
      </c>
      <c r="E81" s="26" t="b">
        <v>0</v>
      </c>
      <c r="G81" s="17"/>
      <c r="H81" s="132"/>
      <c r="I81" s="132"/>
      <c r="J81" s="132"/>
      <c r="K81" s="5">
        <v>4</v>
      </c>
      <c r="L81" s="5">
        <v>6</v>
      </c>
      <c r="M81" s="5">
        <v>10</v>
      </c>
      <c r="N81" s="101" t="b">
        <v>0</v>
      </c>
    </row>
    <row r="82" spans="1:14" x14ac:dyDescent="0.3">
      <c r="A82" s="135"/>
      <c r="B82" s="138"/>
      <c r="C82" s="10" t="s">
        <v>93</v>
      </c>
      <c r="E82" s="26"/>
      <c r="G82" s="17"/>
      <c r="H82" s="132"/>
      <c r="I82" s="132"/>
      <c r="J82" s="132"/>
      <c r="K82" s="5"/>
      <c r="N82" s="101" t="b">
        <v>0</v>
      </c>
    </row>
    <row r="83" spans="1:14" x14ac:dyDescent="0.3">
      <c r="A83" s="135"/>
      <c r="B83" s="138"/>
      <c r="C83" s="10" t="s">
        <v>80</v>
      </c>
      <c r="D83" s="2"/>
      <c r="E83" s="26"/>
      <c r="G83" s="17"/>
      <c r="H83" s="132"/>
      <c r="I83" s="132"/>
      <c r="J83" s="132"/>
      <c r="K83" s="4">
        <f>IF(AND(D83&gt;=1,D84=D83,F95&gt;=K81),IF(D83&gt;1,IF(N80=TRUE,1,0),1),0)+IF(AND(F95&gt;=L81,N81=TRUE),10,0)+IF(AND(F95&gt;=M81,N82=TRUE),100,0)</f>
        <v>0</v>
      </c>
      <c r="N83" s="101"/>
    </row>
    <row r="84" spans="1:14" x14ac:dyDescent="0.3">
      <c r="A84" s="135"/>
      <c r="B84" s="138"/>
      <c r="C84" s="10" t="s">
        <v>81</v>
      </c>
      <c r="D84" s="2"/>
      <c r="E84" s="26"/>
      <c r="G84" s="17"/>
      <c r="H84" s="132"/>
      <c r="I84" s="132"/>
      <c r="J84" s="132"/>
      <c r="K84" s="5"/>
      <c r="N84" s="101"/>
    </row>
    <row r="85" spans="1:14" x14ac:dyDescent="0.3">
      <c r="A85" s="135"/>
      <c r="B85" s="138"/>
      <c r="C85" s="20" t="s">
        <v>82</v>
      </c>
      <c r="D85" s="1"/>
      <c r="E85" s="5"/>
      <c r="F85" s="5"/>
      <c r="G85" s="11"/>
      <c r="H85" s="132"/>
      <c r="I85" s="132"/>
      <c r="J85" s="132"/>
      <c r="K85" s="5"/>
    </row>
    <row r="86" spans="1:14" x14ac:dyDescent="0.3">
      <c r="A86" s="135"/>
      <c r="B86" s="138"/>
      <c r="C86" s="20" t="s">
        <v>83</v>
      </c>
      <c r="D86" s="1"/>
      <c r="E86" s="5"/>
      <c r="F86" s="5"/>
      <c r="G86" s="11"/>
      <c r="H86" s="132"/>
      <c r="I86" s="132"/>
      <c r="J86" s="132"/>
    </row>
    <row r="87" spans="1:14" x14ac:dyDescent="0.3">
      <c r="A87" s="135"/>
      <c r="B87" s="138"/>
      <c r="C87" s="20" t="s">
        <v>84</v>
      </c>
      <c r="D87" s="1"/>
      <c r="E87" s="5"/>
      <c r="F87" s="5"/>
      <c r="G87" s="11"/>
      <c r="H87" s="132"/>
      <c r="I87" s="132"/>
      <c r="J87" s="132"/>
    </row>
    <row r="88" spans="1:14" x14ac:dyDescent="0.3">
      <c r="A88" s="135"/>
      <c r="B88" s="138"/>
      <c r="C88" s="20" t="s">
        <v>85</v>
      </c>
      <c r="D88" s="1"/>
      <c r="E88" s="5"/>
      <c r="F88" s="5"/>
      <c r="G88" s="11"/>
      <c r="H88" s="132"/>
      <c r="I88" s="132"/>
      <c r="J88" s="132"/>
    </row>
    <row r="89" spans="1:14" x14ac:dyDescent="0.3">
      <c r="A89" s="135"/>
      <c r="B89" s="138"/>
      <c r="C89" s="20" t="s">
        <v>86</v>
      </c>
      <c r="D89" s="1"/>
      <c r="E89" s="5"/>
      <c r="F89" s="5"/>
      <c r="G89" s="11"/>
      <c r="H89" s="132"/>
      <c r="I89" s="132"/>
      <c r="J89" s="132"/>
    </row>
    <row r="90" spans="1:14" x14ac:dyDescent="0.3">
      <c r="A90" s="135"/>
      <c r="B90" s="138"/>
      <c r="C90" s="20" t="s">
        <v>87</v>
      </c>
      <c r="D90" s="1"/>
      <c r="E90" s="5"/>
      <c r="F90" s="5"/>
      <c r="G90" s="11"/>
      <c r="H90" s="132"/>
      <c r="I90" s="132"/>
      <c r="J90" s="132"/>
    </row>
    <row r="91" spans="1:14" x14ac:dyDescent="0.3">
      <c r="A91" s="135"/>
      <c r="B91" s="138"/>
      <c r="C91" s="20" t="s">
        <v>88</v>
      </c>
      <c r="D91" s="1"/>
      <c r="E91" s="5"/>
      <c r="F91" s="5"/>
      <c r="G91" s="11"/>
      <c r="H91" s="132"/>
      <c r="I91" s="132"/>
      <c r="J91" s="132"/>
    </row>
    <row r="92" spans="1:14" x14ac:dyDescent="0.3">
      <c r="A92" s="135"/>
      <c r="B92" s="138"/>
      <c r="C92" s="20" t="s">
        <v>89</v>
      </c>
      <c r="D92" s="1"/>
      <c r="E92" s="5"/>
      <c r="F92" s="5"/>
      <c r="G92" s="11"/>
      <c r="H92" s="132"/>
      <c r="I92" s="132"/>
      <c r="J92" s="132"/>
    </row>
    <row r="93" spans="1:14" x14ac:dyDescent="0.3">
      <c r="A93" s="135"/>
      <c r="B93" s="138"/>
      <c r="C93" s="20" t="s">
        <v>90</v>
      </c>
      <c r="D93" s="1"/>
      <c r="E93" s="5"/>
      <c r="F93" s="5"/>
      <c r="G93" s="11"/>
      <c r="H93" s="132"/>
      <c r="I93" s="132"/>
      <c r="J93" s="132"/>
    </row>
    <row r="94" spans="1:14" x14ac:dyDescent="0.3">
      <c r="A94" s="135"/>
      <c r="B94" s="138"/>
      <c r="C94" s="20" t="s">
        <v>91</v>
      </c>
      <c r="D94" s="1"/>
      <c r="E94" s="5"/>
      <c r="F94" s="5"/>
      <c r="G94" s="11"/>
      <c r="H94" s="132"/>
      <c r="I94" s="132"/>
      <c r="J94" s="132"/>
    </row>
    <row r="95" spans="1:14" x14ac:dyDescent="0.3">
      <c r="A95" s="135"/>
      <c r="B95" s="138"/>
      <c r="C95" s="10" t="s">
        <v>92</v>
      </c>
      <c r="D95" s="12"/>
      <c r="E95" s="5"/>
      <c r="F95" s="13">
        <f>IF(D85="",0,1)+IF(D86="",0,1)+IF(D87="",0,1)+IF(D88="",0,1)+IF(D89="",0,1)+IF(D90="",0,1)+IF(D91="",0,1)+IF(D92="",0,1)+IF(D93="",0,1)+IF(D94="",0,1)</f>
        <v>0</v>
      </c>
      <c r="G95" s="11"/>
      <c r="H95" s="132"/>
      <c r="I95" s="132"/>
      <c r="J95" s="132"/>
    </row>
    <row r="96" spans="1:14" ht="6.75" customHeight="1" thickBot="1" x14ac:dyDescent="0.35">
      <c r="A96" s="136"/>
      <c r="B96" s="139"/>
      <c r="C96" s="14"/>
      <c r="D96" s="15"/>
      <c r="E96" s="15"/>
      <c r="F96" s="15"/>
      <c r="G96" s="16"/>
      <c r="H96" s="133"/>
      <c r="I96" s="133"/>
      <c r="J96" s="133"/>
    </row>
    <row r="97" spans="1:14" ht="15" customHeight="1" thickBot="1" x14ac:dyDescent="0.35">
      <c r="A97" s="93"/>
      <c r="B97" s="94" t="s">
        <v>24</v>
      </c>
      <c r="C97" s="95"/>
      <c r="D97" s="95"/>
      <c r="E97" s="95"/>
      <c r="F97" s="95"/>
      <c r="G97" s="95"/>
      <c r="H97" s="95"/>
      <c r="I97" s="95"/>
      <c r="J97" s="96"/>
    </row>
    <row r="98" spans="1:14" ht="6.75" customHeight="1" x14ac:dyDescent="0.3">
      <c r="A98" s="134">
        <v>10</v>
      </c>
      <c r="B98" s="137" t="s">
        <v>159</v>
      </c>
      <c r="C98" s="7"/>
      <c r="D98" s="8"/>
      <c r="E98" s="8"/>
      <c r="F98" s="8"/>
      <c r="G98" s="9"/>
      <c r="H98" s="131" t="str">
        <f>IF(K102=1,K99,"")</f>
        <v/>
      </c>
      <c r="I98" s="131" t="str">
        <f>IF(K102=11,L99,"")</f>
        <v/>
      </c>
      <c r="J98" s="131" t="str">
        <f>IF(K102=111,M99,"")</f>
        <v/>
      </c>
    </row>
    <row r="99" spans="1:14" x14ac:dyDescent="0.3">
      <c r="A99" s="135"/>
      <c r="B99" s="138"/>
      <c r="C99" s="10" t="s">
        <v>94</v>
      </c>
      <c r="E99" s="26" t="b">
        <v>1</v>
      </c>
      <c r="G99" s="17"/>
      <c r="H99" s="132"/>
      <c r="I99" s="132"/>
      <c r="J99" s="132"/>
      <c r="K99" s="4">
        <v>50</v>
      </c>
      <c r="L99" s="5">
        <v>100</v>
      </c>
      <c r="M99" s="5">
        <v>200</v>
      </c>
      <c r="N99" s="101" t="b">
        <v>0</v>
      </c>
    </row>
    <row r="100" spans="1:14" x14ac:dyDescent="0.3">
      <c r="A100" s="135"/>
      <c r="B100" s="138"/>
      <c r="C100" s="23" t="s">
        <v>100</v>
      </c>
      <c r="D100" s="2"/>
      <c r="E100" s="25" t="b">
        <v>1</v>
      </c>
      <c r="F100" s="5"/>
      <c r="G100" s="11"/>
      <c r="H100" s="132"/>
      <c r="I100" s="132"/>
      <c r="J100" s="132"/>
      <c r="K100" s="5">
        <v>3</v>
      </c>
      <c r="L100" s="5">
        <v>2</v>
      </c>
      <c r="M100" s="5">
        <v>3</v>
      </c>
      <c r="N100" s="101"/>
    </row>
    <row r="101" spans="1:14" x14ac:dyDescent="0.3">
      <c r="A101" s="135"/>
      <c r="B101" s="138"/>
      <c r="C101" s="98" t="s">
        <v>99</v>
      </c>
      <c r="D101" s="2"/>
      <c r="E101" s="25"/>
      <c r="F101" s="5"/>
      <c r="G101" s="11"/>
      <c r="H101" s="132"/>
      <c r="I101" s="132"/>
      <c r="J101" s="132"/>
      <c r="K101" s="5"/>
      <c r="N101" s="101"/>
    </row>
    <row r="102" spans="1:14" x14ac:dyDescent="0.3">
      <c r="A102" s="135"/>
      <c r="B102" s="138"/>
      <c r="C102" s="20" t="s">
        <v>95</v>
      </c>
      <c r="D102" s="1"/>
      <c r="E102" s="5"/>
      <c r="F102" s="5"/>
      <c r="G102" s="11"/>
      <c r="H102" s="132"/>
      <c r="I102" s="132"/>
      <c r="J102" s="132"/>
      <c r="K102" s="4">
        <f>IF(AND(N99=TRUE,D100&gt;=1,D101&gt;=K100),1,0)+IF(F105&gt;=L100,10,0)+IF(F105&gt;=M100,100,0)</f>
        <v>0</v>
      </c>
    </row>
    <row r="103" spans="1:14" x14ac:dyDescent="0.3">
      <c r="A103" s="135"/>
      <c r="B103" s="138"/>
      <c r="C103" s="20" t="s">
        <v>96</v>
      </c>
      <c r="D103" s="1"/>
      <c r="E103" s="5"/>
      <c r="F103" s="5"/>
      <c r="G103" s="11"/>
      <c r="H103" s="132"/>
      <c r="I103" s="132"/>
      <c r="J103" s="132"/>
    </row>
    <row r="104" spans="1:14" x14ac:dyDescent="0.3">
      <c r="A104" s="135"/>
      <c r="B104" s="138"/>
      <c r="C104" s="20" t="s">
        <v>97</v>
      </c>
      <c r="D104" s="1"/>
      <c r="E104" s="5"/>
      <c r="F104" s="5"/>
      <c r="G104" s="11"/>
      <c r="H104" s="132"/>
      <c r="I104" s="132"/>
      <c r="J104" s="132"/>
    </row>
    <row r="105" spans="1:14" x14ac:dyDescent="0.3">
      <c r="A105" s="135"/>
      <c r="B105" s="138"/>
      <c r="C105" s="23" t="s">
        <v>98</v>
      </c>
      <c r="D105" s="12"/>
      <c r="E105" s="5"/>
      <c r="F105" s="13">
        <f>IF(D102="",0,1)+IF(D103="",0,1)+IF(D104="",0,1)</f>
        <v>0</v>
      </c>
      <c r="G105" s="11"/>
      <c r="H105" s="132"/>
      <c r="I105" s="132"/>
      <c r="J105" s="132"/>
    </row>
    <row r="106" spans="1:14" ht="18" customHeight="1" thickBot="1" x14ac:dyDescent="0.35">
      <c r="A106" s="136"/>
      <c r="B106" s="139"/>
      <c r="C106" s="14"/>
      <c r="D106" s="15"/>
      <c r="E106" s="15"/>
      <c r="F106" s="15"/>
      <c r="G106" s="16"/>
      <c r="H106" s="133"/>
      <c r="I106" s="133"/>
      <c r="J106" s="133"/>
    </row>
    <row r="107" spans="1:14" ht="6.75" customHeight="1" x14ac:dyDescent="0.3">
      <c r="A107" s="134">
        <v>11</v>
      </c>
      <c r="B107" s="137" t="s">
        <v>160</v>
      </c>
      <c r="C107" s="7"/>
      <c r="D107" s="8"/>
      <c r="E107" s="8"/>
      <c r="F107" s="8"/>
      <c r="G107" s="9"/>
      <c r="H107" s="131" t="str">
        <f>IF(OR(K111=1,K111=101),K108,"")</f>
        <v/>
      </c>
      <c r="I107" s="131" t="str">
        <f>IF(K111=11,L108,"")</f>
        <v/>
      </c>
      <c r="J107" s="131" t="str">
        <f>IF(K111=111,M108,"")</f>
        <v/>
      </c>
    </row>
    <row r="108" spans="1:14" x14ac:dyDescent="0.3">
      <c r="A108" s="135"/>
      <c r="B108" s="138"/>
      <c r="C108" s="20" t="s">
        <v>114</v>
      </c>
      <c r="E108" s="26" t="b">
        <v>1</v>
      </c>
      <c r="G108" s="17"/>
      <c r="H108" s="132"/>
      <c r="I108" s="132"/>
      <c r="J108" s="132"/>
      <c r="K108" s="4">
        <v>50</v>
      </c>
      <c r="L108" s="5">
        <v>100</v>
      </c>
      <c r="M108" s="5">
        <v>200</v>
      </c>
      <c r="N108" s="101" t="b">
        <v>0</v>
      </c>
    </row>
    <row r="109" spans="1:14" x14ac:dyDescent="0.3">
      <c r="A109" s="135"/>
      <c r="B109" s="138"/>
      <c r="C109" s="10" t="s">
        <v>115</v>
      </c>
      <c r="E109" s="26" t="b">
        <v>1</v>
      </c>
      <c r="G109" s="17"/>
      <c r="H109" s="132"/>
      <c r="I109" s="132"/>
      <c r="J109" s="132"/>
      <c r="K109" s="5"/>
      <c r="L109" s="5">
        <v>0.6</v>
      </c>
      <c r="M109" s="5">
        <v>0.6666666</v>
      </c>
      <c r="N109" s="101" t="b">
        <v>0</v>
      </c>
    </row>
    <row r="110" spans="1:14" x14ac:dyDescent="0.3">
      <c r="A110" s="135"/>
      <c r="B110" s="138"/>
      <c r="C110" s="23" t="s">
        <v>100</v>
      </c>
      <c r="D110" s="104"/>
      <c r="E110" s="104"/>
      <c r="F110" s="18">
        <f>D100</f>
        <v>0</v>
      </c>
      <c r="G110" s="17"/>
      <c r="H110" s="132"/>
      <c r="I110" s="132"/>
      <c r="J110" s="132"/>
      <c r="K110" s="5"/>
      <c r="N110" s="101"/>
    </row>
    <row r="111" spans="1:14" x14ac:dyDescent="0.3">
      <c r="A111" s="135"/>
      <c r="B111" s="138"/>
      <c r="C111" s="20" t="s">
        <v>21</v>
      </c>
      <c r="D111" s="2"/>
      <c r="G111" s="11"/>
      <c r="H111" s="132"/>
      <c r="I111" s="132"/>
      <c r="J111" s="132"/>
      <c r="K111" s="4">
        <f>IF(OR(N108=TRUE,F112&gt;0),1,0)+IF(AND(N108=TRUE,F112&gt;=L109),10,0)+IF(AND(F115&gt;=M109,N109=TRUE,N116=TRUE),100,0)</f>
        <v>0</v>
      </c>
    </row>
    <row r="112" spans="1:14" x14ac:dyDescent="0.3">
      <c r="A112" s="135"/>
      <c r="B112" s="138"/>
      <c r="C112" s="23" t="s">
        <v>105</v>
      </c>
      <c r="D112" s="27"/>
      <c r="E112" s="5"/>
      <c r="F112" s="21">
        <f>IF(F110=0,0,IF(D111&gt;F110,1,D111/F110))</f>
        <v>0</v>
      </c>
      <c r="G112" s="11"/>
      <c r="H112" s="132"/>
      <c r="I112" s="132"/>
      <c r="J112" s="132"/>
      <c r="K112" s="5"/>
    </row>
    <row r="113" spans="1:14" x14ac:dyDescent="0.3">
      <c r="A113" s="135"/>
      <c r="B113" s="138"/>
      <c r="C113" s="23" t="s">
        <v>20</v>
      </c>
      <c r="D113" s="12"/>
      <c r="E113" s="5"/>
      <c r="F113" s="13">
        <f>D101</f>
        <v>0</v>
      </c>
      <c r="G113" s="11"/>
      <c r="H113" s="132"/>
      <c r="I113" s="132"/>
      <c r="J113" s="132"/>
    </row>
    <row r="114" spans="1:14" ht="13.65" customHeight="1" x14ac:dyDescent="0.3">
      <c r="A114" s="135"/>
      <c r="B114" s="138"/>
      <c r="C114" s="20" t="s">
        <v>21</v>
      </c>
      <c r="D114" s="2"/>
      <c r="E114" s="5"/>
      <c r="F114" s="5"/>
      <c r="G114" s="11"/>
      <c r="H114" s="132"/>
      <c r="I114" s="132"/>
      <c r="J114" s="132"/>
    </row>
    <row r="115" spans="1:14" x14ac:dyDescent="0.3">
      <c r="A115" s="135"/>
      <c r="B115" s="138"/>
      <c r="C115" s="23" t="s">
        <v>59</v>
      </c>
      <c r="D115" s="12"/>
      <c r="E115" s="5"/>
      <c r="F115" s="21">
        <f>IF(F113=0,0,IF(D114&gt;F113,1,D114/F113))</f>
        <v>0</v>
      </c>
      <c r="G115" s="11"/>
      <c r="H115" s="132"/>
      <c r="I115" s="132"/>
      <c r="J115" s="132"/>
    </row>
    <row r="116" spans="1:14" x14ac:dyDescent="0.3">
      <c r="A116" s="135"/>
      <c r="B116" s="138"/>
      <c r="C116" s="10" t="s">
        <v>144</v>
      </c>
      <c r="E116" s="26" t="b">
        <v>1</v>
      </c>
      <c r="G116" s="17"/>
      <c r="H116" s="132"/>
      <c r="I116" s="132"/>
      <c r="J116" s="132"/>
      <c r="N116" s="101" t="b">
        <v>0</v>
      </c>
    </row>
    <row r="117" spans="1:14" ht="6.75" customHeight="1" thickBot="1" x14ac:dyDescent="0.35">
      <c r="A117" s="136"/>
      <c r="B117" s="139"/>
      <c r="C117" s="14"/>
      <c r="D117" s="15"/>
      <c r="E117" s="15"/>
      <c r="F117" s="15"/>
      <c r="G117" s="16"/>
      <c r="H117" s="133"/>
      <c r="I117" s="133"/>
      <c r="J117" s="133"/>
    </row>
    <row r="118" spans="1:14" ht="15" customHeight="1" thickBot="1" x14ac:dyDescent="0.35">
      <c r="A118" s="93"/>
      <c r="B118" s="95"/>
      <c r="C118" s="95"/>
      <c r="D118" s="95"/>
      <c r="E118" s="95"/>
      <c r="F118" s="95"/>
      <c r="G118" s="95"/>
      <c r="H118" s="95"/>
      <c r="I118" s="95"/>
      <c r="J118" s="96"/>
    </row>
    <row r="119" spans="1:14" x14ac:dyDescent="0.3">
      <c r="H119" s="26">
        <f>SUM(H6:H117)</f>
        <v>0</v>
      </c>
      <c r="I119" s="26">
        <f>SUM(I6:I117)</f>
        <v>0</v>
      </c>
      <c r="J119" s="26">
        <f>SUM(J6:J117)</f>
        <v>0</v>
      </c>
    </row>
    <row r="120" spans="1:14" ht="15.6" thickBot="1" x14ac:dyDescent="0.35">
      <c r="A120" s="28" t="str">
        <f>IF(D120=1,"®","")</f>
        <v/>
      </c>
      <c r="B120" s="29" t="s">
        <v>28</v>
      </c>
      <c r="C120" s="30"/>
      <c r="D120" s="31">
        <f>IF(AND(J120&gt;=K120,J122&gt;=K122),1,0)+IF(AND(J120&gt;=L120,J122&gt;=L122),10,0)+IF(AND(J120&gt;=M120,J122&gt;=M122,K55+K67&gt;0),100,0)</f>
        <v>0</v>
      </c>
      <c r="F120" s="32" t="s">
        <v>29</v>
      </c>
      <c r="G120" s="32"/>
      <c r="H120" s="32"/>
      <c r="I120" s="32"/>
      <c r="J120" s="33">
        <f>H119+I119+J119</f>
        <v>0</v>
      </c>
      <c r="K120" s="4">
        <v>525</v>
      </c>
      <c r="L120" s="5">
        <v>750</v>
      </c>
      <c r="M120" s="5">
        <v>1000</v>
      </c>
    </row>
    <row r="121" spans="1:14" ht="15" x14ac:dyDescent="0.3">
      <c r="A121" s="28" t="str">
        <f>IF(D120=11,"®","")</f>
        <v/>
      </c>
      <c r="B121" s="97" t="s">
        <v>61</v>
      </c>
      <c r="C121" s="30"/>
      <c r="D121" s="34"/>
      <c r="E121" s="32"/>
      <c r="F121" s="35"/>
      <c r="G121" s="35"/>
      <c r="H121" s="36">
        <f>COUNTIF(H6:H117,"&gt;0")</f>
        <v>0</v>
      </c>
      <c r="I121" s="36">
        <f>COUNTIF(I6:I117,"&gt;0")</f>
        <v>0</v>
      </c>
      <c r="J121" s="36">
        <f>COUNTIF(J6:J117,"&gt;0")</f>
        <v>0</v>
      </c>
    </row>
    <row r="122" spans="1:14" ht="15.6" thickBot="1" x14ac:dyDescent="0.35">
      <c r="A122" s="28" t="str">
        <f>IF(D120=111,"®","")</f>
        <v/>
      </c>
      <c r="B122" s="97" t="s">
        <v>117</v>
      </c>
      <c r="C122" s="30"/>
      <c r="D122" s="30"/>
      <c r="F122" s="32" t="s">
        <v>30</v>
      </c>
      <c r="G122" s="35"/>
      <c r="I122" s="37"/>
      <c r="J122" s="38">
        <f>H121+I121+J121</f>
        <v>0</v>
      </c>
      <c r="K122" s="4">
        <v>7</v>
      </c>
      <c r="L122" s="5">
        <v>8</v>
      </c>
      <c r="M122" s="5">
        <v>8</v>
      </c>
    </row>
    <row r="124" spans="1:14" ht="21" x14ac:dyDescent="0.35">
      <c r="B124" s="39"/>
    </row>
    <row r="125" spans="1:14" ht="21" x14ac:dyDescent="0.35">
      <c r="B125" s="39"/>
    </row>
    <row r="126" spans="1:14" ht="21" x14ac:dyDescent="0.35">
      <c r="B126" s="39"/>
    </row>
    <row r="127" spans="1:14" ht="21" x14ac:dyDescent="0.35">
      <c r="B127" s="39"/>
    </row>
    <row r="128" spans="1:14" ht="21" x14ac:dyDescent="0.35">
      <c r="B128" s="39"/>
    </row>
    <row r="129" spans="2:2" ht="21" x14ac:dyDescent="0.35">
      <c r="B129" s="39"/>
    </row>
    <row r="130" spans="2:2" ht="21" x14ac:dyDescent="0.35">
      <c r="B130" s="39"/>
    </row>
    <row r="131" spans="2:2" ht="21" x14ac:dyDescent="0.35">
      <c r="B131" s="39"/>
    </row>
    <row r="132" spans="2:2" ht="21" x14ac:dyDescent="0.35">
      <c r="B132" s="39"/>
    </row>
  </sheetData>
  <sheetProtection algorithmName="SHA-512" hashValue="jqvJ3XYPdGvaRU2CkKUlh3C1o20VYPy/VQiwDUJ3dTEwcM5uc4LFrQaHq7NuwVRfDMGlOJQWwwZ0ljAVdw1gpg==" saltValue="dHOhclPk7Kmqody4PSpC/Q==" spinCount="100000" sheet="1" selectLockedCells="1"/>
  <mergeCells count="58">
    <mergeCell ref="I69:I78"/>
    <mergeCell ref="J69:J78"/>
    <mergeCell ref="A47:A51"/>
    <mergeCell ref="B47:B51"/>
    <mergeCell ref="H47:H51"/>
    <mergeCell ref="I47:I51"/>
    <mergeCell ref="J47:J51"/>
    <mergeCell ref="A64:A68"/>
    <mergeCell ref="B64:B68"/>
    <mergeCell ref="H64:H68"/>
    <mergeCell ref="I64:I68"/>
    <mergeCell ref="J64:J68"/>
    <mergeCell ref="A69:A78"/>
    <mergeCell ref="B69:B78"/>
    <mergeCell ref="H69:H78"/>
    <mergeCell ref="J40:J45"/>
    <mergeCell ref="I18:I32"/>
    <mergeCell ref="J18:J32"/>
    <mergeCell ref="B18:B32"/>
    <mergeCell ref="A6:A16"/>
    <mergeCell ref="B6:B16"/>
    <mergeCell ref="H6:H16"/>
    <mergeCell ref="I6:I16"/>
    <mergeCell ref="J6:J16"/>
    <mergeCell ref="J33:J39"/>
    <mergeCell ref="A18:A32"/>
    <mergeCell ref="H18:H32"/>
    <mergeCell ref="A1:J1"/>
    <mergeCell ref="A2:J2"/>
    <mergeCell ref="J52:J63"/>
    <mergeCell ref="A52:A63"/>
    <mergeCell ref="B52:B63"/>
    <mergeCell ref="H52:H63"/>
    <mergeCell ref="I52:I63"/>
    <mergeCell ref="C20:D20"/>
    <mergeCell ref="A33:A39"/>
    <mergeCell ref="B33:B39"/>
    <mergeCell ref="H33:H39"/>
    <mergeCell ref="I33:I39"/>
    <mergeCell ref="A40:A45"/>
    <mergeCell ref="B40:B45"/>
    <mergeCell ref="H40:H45"/>
    <mergeCell ref="I40:I45"/>
    <mergeCell ref="J107:J117"/>
    <mergeCell ref="A79:A96"/>
    <mergeCell ref="B79:B96"/>
    <mergeCell ref="H79:H96"/>
    <mergeCell ref="I79:I96"/>
    <mergeCell ref="J79:J96"/>
    <mergeCell ref="A98:A106"/>
    <mergeCell ref="B98:B106"/>
    <mergeCell ref="H98:H106"/>
    <mergeCell ref="I98:I106"/>
    <mergeCell ref="J98:J106"/>
    <mergeCell ref="A107:A117"/>
    <mergeCell ref="B107:B117"/>
    <mergeCell ref="H107:H117"/>
    <mergeCell ref="I107:I117"/>
  </mergeCells>
  <conditionalFormatting sqref="D24 D28">
    <cfRule type="expression" dxfId="33" priority="58">
      <formula>$N$20</formula>
    </cfRule>
  </conditionalFormatting>
  <dataValidations xWindow="703" yWindow="458" count="11">
    <dataValidation type="whole" operator="greaterThanOrEqual" allowBlank="1" showInputMessage="1" showErrorMessage="1" errorTitle="Number Invalid" error="Must be whole number." sqref="D110:E110 D100 D65:D66 D44 D49 D83 D22:D28">
      <formula1>0</formula1>
    </dataValidation>
    <dataValidation type="whole" operator="greaterThanOrEqual" allowBlank="1" showInputMessage="1" showErrorMessage="1" errorTitle="Number Invalid" error="Must be whole number." sqref="D101">
      <formula1>1</formula1>
    </dataValidation>
    <dataValidation type="whole" allowBlank="1" showInputMessage="1" showErrorMessage="1" errorTitle="Number Invalid" error="Must be whole number thst is not greater than the number of patrols." sqref="D84">
      <formula1>0</formula1>
      <formula2>D83</formula2>
    </dataValidation>
    <dataValidation type="whole" allowBlank="1" showInputMessage="1" showErrorMessage="1" errorTitle="Number Invalid" error="Must be whole number not greater than the total number of committee members." sqref="D114">
      <formula1>0</formula1>
      <formula2>F113</formula2>
    </dataValidation>
    <dataValidation type="whole" operator="greaterThan" allowBlank="1" showInputMessage="1" showErrorMessage="1" errorTitle="Number Invalid" error="Must be whole number." sqref="D29">
      <formula1>0</formula1>
    </dataValidation>
    <dataValidation type="whole" allowBlank="1" showInputMessage="1" showErrorMessage="1" errorTitle="Number Invalid" error="Must be whole number that is no greater than the end of charter membership. (Cell D30)" sqref="D25">
      <formula1>0</formula1>
      <formula2>D34</formula2>
    </dataValidation>
    <dataValidation type="whole" allowBlank="1" showInputMessage="1" showErrorMessage="1" errorTitle="Number Invalid" error="Must be whole number not greater than the total number of assistant Scoutmasters." sqref="D111">
      <formula1>0</formula1>
      <formula2>F110</formula2>
    </dataValidation>
    <dataValidation type="date" allowBlank="1" showInputMessage="1" showErrorMessage="1" errorTitle="Date Out of Range" error="Date must be during 2023." sqref="D85:D94 D102:D104 D53:D61 D72:D76 D21">
      <formula1>44927</formula1>
      <formula2>45291</formula2>
    </dataValidation>
    <dataValidation type="whole" operator="greaterThanOrEqual" allowBlank="1" showInputMessage="1" showErrorMessage="1" error="Current membership cannot be less than zero." sqref="D30">
      <formula1>0</formula1>
    </dataValidation>
    <dataValidation type="date" allowBlank="1" showInputMessage="1" showErrorMessage="1" errorTitle="Date Out of Range" error="Date must be in 2023." sqref="D9:D14">
      <formula1>44927</formula1>
      <formula2>45291</formula2>
    </dataValidation>
    <dataValidation type="date" allowBlank="1" showInputMessage="1" showErrorMessage="1" errorTitle="Date Out of Range" error="Date must be in 2022 or 2023." sqref="D7:D8">
      <formula1>44562</formula1>
      <formula2>45291</formula2>
    </dataValidation>
  </dataValidations>
  <printOptions horizontalCentered="1"/>
  <pageMargins left="0.4" right="0.4" top="0.5" bottom="0.5" header="0.3" footer="0.3"/>
  <pageSetup scale="70" fitToHeight="2" orientation="portrait" horizontalDpi="4294967293" verticalDpi="4294967293" r:id="rId1"/>
  <headerFooter>
    <oddFooter>&amp;LRevised: 12/27/22</oddFooter>
  </headerFooter>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83820</xdr:colOff>
                    <xdr:row>69</xdr:row>
                    <xdr:rowOff>7620</xdr:rowOff>
                  </from>
                  <to>
                    <xdr:col>3</xdr:col>
                    <xdr:colOff>502920</xdr:colOff>
                    <xdr:row>69</xdr:row>
                    <xdr:rowOff>182880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83820</xdr:colOff>
                    <xdr:row>70</xdr:row>
                    <xdr:rowOff>7620</xdr:rowOff>
                  </from>
                  <to>
                    <xdr:col>3</xdr:col>
                    <xdr:colOff>525780</xdr:colOff>
                    <xdr:row>71</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3</xdr:col>
                    <xdr:colOff>83820</xdr:colOff>
                    <xdr:row>79</xdr:row>
                    <xdr:rowOff>7620</xdr:rowOff>
                  </from>
                  <to>
                    <xdr:col>3</xdr:col>
                    <xdr:colOff>525780</xdr:colOff>
                    <xdr:row>80</xdr:row>
                    <xdr:rowOff>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3</xdr:col>
                    <xdr:colOff>83820</xdr:colOff>
                    <xdr:row>80</xdr:row>
                    <xdr:rowOff>7620</xdr:rowOff>
                  </from>
                  <to>
                    <xdr:col>3</xdr:col>
                    <xdr:colOff>525780</xdr:colOff>
                    <xdr:row>81</xdr:row>
                    <xdr:rowOff>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83820</xdr:colOff>
                    <xdr:row>107</xdr:row>
                    <xdr:rowOff>7620</xdr:rowOff>
                  </from>
                  <to>
                    <xdr:col>3</xdr:col>
                    <xdr:colOff>525780</xdr:colOff>
                    <xdr:row>108</xdr:row>
                    <xdr:rowOff>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3</xdr:col>
                    <xdr:colOff>83820</xdr:colOff>
                    <xdr:row>108</xdr:row>
                    <xdr:rowOff>7620</xdr:rowOff>
                  </from>
                  <to>
                    <xdr:col>3</xdr:col>
                    <xdr:colOff>525780</xdr:colOff>
                    <xdr:row>109</xdr:row>
                    <xdr:rowOff>0</xdr:rowOff>
                  </to>
                </anchor>
              </controlPr>
            </control>
          </mc:Choice>
        </mc:AlternateContent>
        <mc:AlternateContent xmlns:mc="http://schemas.openxmlformats.org/markup-compatibility/2006">
          <mc:Choice Requires="x14">
            <control shapeId="1087" r:id="rId10" name="Check Box 63">
              <controlPr defaultSize="0" autoFill="0" autoLine="0" autoPict="0">
                <anchor moveWithCells="1">
                  <from>
                    <xdr:col>3</xdr:col>
                    <xdr:colOff>83820</xdr:colOff>
                    <xdr:row>81</xdr:row>
                    <xdr:rowOff>7620</xdr:rowOff>
                  </from>
                  <to>
                    <xdr:col>3</xdr:col>
                    <xdr:colOff>525780</xdr:colOff>
                    <xdr:row>82</xdr:row>
                    <xdr:rowOff>0</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2</xdr:col>
                    <xdr:colOff>3543300</xdr:colOff>
                    <xdr:row>30</xdr:row>
                    <xdr:rowOff>182880</xdr:rowOff>
                  </from>
                  <to>
                    <xdr:col>2</xdr:col>
                    <xdr:colOff>3962400</xdr:colOff>
                    <xdr:row>31</xdr:row>
                    <xdr:rowOff>152400</xdr:rowOff>
                  </to>
                </anchor>
              </controlPr>
            </control>
          </mc:Choice>
        </mc:AlternateContent>
        <mc:AlternateContent xmlns:mc="http://schemas.openxmlformats.org/markup-compatibility/2006">
          <mc:Choice Requires="x14">
            <control shapeId="1101" r:id="rId12" name="Check Box 77">
              <controlPr defaultSize="0" autoFill="0" autoLine="0" autoPict="0">
                <anchor moveWithCells="1">
                  <from>
                    <xdr:col>3</xdr:col>
                    <xdr:colOff>594360</xdr:colOff>
                    <xdr:row>17</xdr:row>
                    <xdr:rowOff>22860</xdr:rowOff>
                  </from>
                  <to>
                    <xdr:col>5</xdr:col>
                    <xdr:colOff>121920</xdr:colOff>
                    <xdr:row>20</xdr:row>
                    <xdr:rowOff>68580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3</xdr:col>
                    <xdr:colOff>83820</xdr:colOff>
                    <xdr:row>98</xdr:row>
                    <xdr:rowOff>7620</xdr:rowOff>
                  </from>
                  <to>
                    <xdr:col>3</xdr:col>
                    <xdr:colOff>525780</xdr:colOff>
                    <xdr:row>99</xdr:row>
                    <xdr:rowOff>0</xdr:rowOff>
                  </to>
                </anchor>
              </controlPr>
            </control>
          </mc:Choice>
        </mc:AlternateContent>
        <mc:AlternateContent xmlns:mc="http://schemas.openxmlformats.org/markup-compatibility/2006">
          <mc:Choice Requires="x14">
            <control shapeId="1103" r:id="rId14" name="Check Box 79">
              <controlPr defaultSize="0" autoFill="0" autoLine="0" autoPict="0">
                <anchor moveWithCells="1">
                  <from>
                    <xdr:col>3</xdr:col>
                    <xdr:colOff>83820</xdr:colOff>
                    <xdr:row>115</xdr:row>
                    <xdr:rowOff>7620</xdr:rowOff>
                  </from>
                  <to>
                    <xdr:col>3</xdr:col>
                    <xdr:colOff>525780</xdr:colOff>
                    <xdr:row>116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8"/>
  <sheetViews>
    <sheetView showGridLines="0" zoomScale="85" zoomScaleNormal="85" workbookViewId="0">
      <selection activeCell="H30" sqref="H30"/>
    </sheetView>
  </sheetViews>
  <sheetFormatPr defaultColWidth="9.109375" defaultRowHeight="13.2" x14ac:dyDescent="0.25"/>
  <cols>
    <col min="1" max="1" width="6.88671875" style="45" customWidth="1"/>
    <col min="2" max="2" width="45" style="44" customWidth="1"/>
    <col min="3" max="3" width="27.88671875" style="46" customWidth="1"/>
    <col min="4" max="4" width="27.109375" style="46" customWidth="1"/>
    <col min="5" max="5" width="29.109375" style="46" customWidth="1"/>
    <col min="6" max="8" width="9.109375" style="44"/>
    <col min="9" max="11" width="9.109375" style="44" hidden="1" customWidth="1"/>
    <col min="12" max="16384" width="9.109375" style="44"/>
  </cols>
  <sheetData>
    <row r="1" spans="1:11" s="43" customFormat="1" ht="27.15" customHeight="1" x14ac:dyDescent="0.65">
      <c r="A1" s="152" t="str">
        <f>"Troop "&amp;'Setup &amp; Instructions'!C5&amp;" of "&amp;'Setup &amp; Instructions'!C7&amp;" District"</f>
        <v>Troop  of  District</v>
      </c>
      <c r="B1" s="152"/>
      <c r="C1" s="152"/>
      <c r="D1" s="152"/>
      <c r="E1" s="152"/>
      <c r="F1" s="152"/>
      <c r="G1" s="152"/>
      <c r="H1" s="152"/>
    </row>
    <row r="2" spans="1:11" ht="19.649999999999999" customHeight="1" x14ac:dyDescent="0.6">
      <c r="A2" s="153" t="s">
        <v>161</v>
      </c>
      <c r="B2" s="153"/>
      <c r="C2" s="153"/>
      <c r="D2" s="153"/>
      <c r="E2" s="153"/>
      <c r="F2" s="153"/>
      <c r="G2" s="153"/>
      <c r="H2" s="153"/>
    </row>
    <row r="3" spans="1:11" ht="31.35" customHeight="1" thickBot="1" x14ac:dyDescent="0.3">
      <c r="A3" s="157" t="s">
        <v>118</v>
      </c>
      <c r="B3" s="157"/>
      <c r="C3" s="157"/>
      <c r="D3" s="157"/>
      <c r="E3" s="157"/>
      <c r="F3" s="157"/>
      <c r="G3" s="157"/>
      <c r="H3" s="157"/>
    </row>
    <row r="4" spans="1:11" ht="36.75" customHeight="1" thickBot="1" x14ac:dyDescent="0.3">
      <c r="A4" s="154" t="s">
        <v>31</v>
      </c>
      <c r="B4" s="67" t="s">
        <v>0</v>
      </c>
      <c r="C4" s="68" t="s">
        <v>32</v>
      </c>
      <c r="D4" s="68" t="s">
        <v>33</v>
      </c>
      <c r="E4" s="68" t="s">
        <v>34</v>
      </c>
      <c r="F4" s="83" t="s">
        <v>1</v>
      </c>
      <c r="G4" s="83" t="s">
        <v>2</v>
      </c>
      <c r="H4" s="84" t="s">
        <v>3</v>
      </c>
    </row>
    <row r="5" spans="1:11" ht="21.9" customHeight="1" x14ac:dyDescent="0.25">
      <c r="A5" s="155"/>
      <c r="B5" s="69" t="s">
        <v>22</v>
      </c>
      <c r="C5" s="149"/>
      <c r="D5" s="156"/>
      <c r="E5" s="156"/>
      <c r="F5" s="151" t="s">
        <v>35</v>
      </c>
      <c r="G5" s="151"/>
      <c r="H5" s="85">
        <v>200</v>
      </c>
    </row>
    <row r="6" spans="1:11" ht="69.599999999999994" customHeight="1" x14ac:dyDescent="0.25">
      <c r="A6" s="70" t="s">
        <v>36</v>
      </c>
      <c r="B6" s="71" t="s">
        <v>165</v>
      </c>
      <c r="C6" s="72" t="s">
        <v>164</v>
      </c>
      <c r="D6" s="72" t="s">
        <v>162</v>
      </c>
      <c r="E6" s="72" t="s">
        <v>163</v>
      </c>
      <c r="F6" s="47">
        <v>50</v>
      </c>
      <c r="G6" s="47">
        <v>100</v>
      </c>
      <c r="H6" s="48">
        <v>200</v>
      </c>
      <c r="I6" s="44" t="str">
        <f>'Data Entry'!H6</f>
        <v/>
      </c>
      <c r="J6" s="44" t="str">
        <f>'Data Entry'!I6</f>
        <v/>
      </c>
      <c r="K6" s="44" t="str">
        <f>'Data Entry'!J6</f>
        <v/>
      </c>
    </row>
    <row r="7" spans="1:11" ht="21.9" customHeight="1" x14ac:dyDescent="0.25">
      <c r="A7" s="73" t="s">
        <v>37</v>
      </c>
      <c r="B7" s="69" t="s">
        <v>23</v>
      </c>
      <c r="C7" s="149"/>
      <c r="D7" s="150"/>
      <c r="E7" s="150"/>
      <c r="F7" s="151" t="s">
        <v>35</v>
      </c>
      <c r="G7" s="151"/>
      <c r="H7" s="85">
        <v>500</v>
      </c>
    </row>
    <row r="8" spans="1:11" ht="79.2" x14ac:dyDescent="0.25">
      <c r="A8" s="70" t="s">
        <v>38</v>
      </c>
      <c r="B8" s="74" t="s">
        <v>167</v>
      </c>
      <c r="C8" s="75" t="s">
        <v>168</v>
      </c>
      <c r="D8" s="72" t="s">
        <v>169</v>
      </c>
      <c r="E8" s="72" t="s">
        <v>170</v>
      </c>
      <c r="F8" s="47">
        <v>50</v>
      </c>
      <c r="G8" s="47">
        <v>100</v>
      </c>
      <c r="H8" s="48">
        <v>200</v>
      </c>
      <c r="I8" s="44" t="str">
        <f>'Data Entry'!H18</f>
        <v/>
      </c>
      <c r="J8" s="44" t="str">
        <f>'Data Entry'!I18</f>
        <v/>
      </c>
      <c r="K8" s="44" t="str">
        <f>'Data Entry'!J18</f>
        <v/>
      </c>
    </row>
    <row r="9" spans="1:11" ht="26.4" x14ac:dyDescent="0.25">
      <c r="A9" s="70" t="s">
        <v>39</v>
      </c>
      <c r="B9" s="76" t="s">
        <v>178</v>
      </c>
      <c r="C9" s="75" t="s">
        <v>171</v>
      </c>
      <c r="D9" s="75" t="s">
        <v>172</v>
      </c>
      <c r="E9" s="75" t="s">
        <v>173</v>
      </c>
      <c r="F9" s="47">
        <v>50</v>
      </c>
      <c r="G9" s="47">
        <v>100</v>
      </c>
      <c r="H9" s="48">
        <v>200</v>
      </c>
      <c r="I9" s="44" t="str">
        <f>'Data Entry'!H33</f>
        <v/>
      </c>
      <c r="J9" s="44" t="str">
        <f>'Data Entry'!I33</f>
        <v/>
      </c>
      <c r="K9" s="44" t="str">
        <f>'Data Entry'!J33</f>
        <v/>
      </c>
    </row>
    <row r="10" spans="1:11" ht="58.65" customHeight="1" x14ac:dyDescent="0.25">
      <c r="A10" s="70" t="s">
        <v>40</v>
      </c>
      <c r="B10" s="77" t="s">
        <v>141</v>
      </c>
      <c r="C10" s="72" t="s">
        <v>174</v>
      </c>
      <c r="D10" s="72" t="s">
        <v>175</v>
      </c>
      <c r="E10" s="72" t="s">
        <v>176</v>
      </c>
      <c r="F10" s="47">
        <v>25</v>
      </c>
      <c r="G10" s="47">
        <v>50</v>
      </c>
      <c r="H10" s="48">
        <v>100</v>
      </c>
      <c r="I10" s="44" t="str">
        <f>'Data Entry'!H40</f>
        <v/>
      </c>
      <c r="J10" s="44" t="str">
        <f>'Data Entry'!I40</f>
        <v/>
      </c>
      <c r="K10" s="44" t="str">
        <f>'Data Entry'!J40</f>
        <v/>
      </c>
    </row>
    <row r="11" spans="1:11" ht="21.9" customHeight="1" x14ac:dyDescent="0.25">
      <c r="A11" s="73" t="s">
        <v>37</v>
      </c>
      <c r="B11" s="69" t="s">
        <v>25</v>
      </c>
      <c r="C11" s="149"/>
      <c r="D11" s="150"/>
      <c r="E11" s="150"/>
      <c r="F11" s="151" t="s">
        <v>35</v>
      </c>
      <c r="G11" s="151"/>
      <c r="H11" s="86">
        <v>900</v>
      </c>
    </row>
    <row r="12" spans="1:11" ht="46.35" customHeight="1" x14ac:dyDescent="0.25">
      <c r="A12" s="70" t="s">
        <v>41</v>
      </c>
      <c r="B12" s="71" t="s">
        <v>177</v>
      </c>
      <c r="C12" s="75" t="s">
        <v>179</v>
      </c>
      <c r="D12" s="75" t="s">
        <v>180</v>
      </c>
      <c r="E12" s="75" t="s">
        <v>181</v>
      </c>
      <c r="F12" s="47">
        <v>50</v>
      </c>
      <c r="G12" s="47">
        <v>100</v>
      </c>
      <c r="H12" s="48">
        <v>200</v>
      </c>
      <c r="I12" s="44" t="str">
        <f>'Data Entry'!H47</f>
        <v/>
      </c>
      <c r="J12" s="44" t="str">
        <f>'Data Entry'!I47</f>
        <v/>
      </c>
      <c r="K12" s="44" t="str">
        <f>'Data Entry'!J47</f>
        <v/>
      </c>
    </row>
    <row r="13" spans="1:11" ht="26.4" x14ac:dyDescent="0.25">
      <c r="A13" s="70" t="s">
        <v>42</v>
      </c>
      <c r="B13" s="78" t="s">
        <v>182</v>
      </c>
      <c r="C13" s="75" t="s">
        <v>183</v>
      </c>
      <c r="D13" s="72" t="s">
        <v>184</v>
      </c>
      <c r="E13" s="72" t="s">
        <v>185</v>
      </c>
      <c r="F13" s="47">
        <v>50</v>
      </c>
      <c r="G13" s="47">
        <v>100</v>
      </c>
      <c r="H13" s="48">
        <v>200</v>
      </c>
      <c r="I13" s="44" t="str">
        <f>'Data Entry'!H52</f>
        <v/>
      </c>
      <c r="J13" s="44" t="str">
        <f>'Data Entry'!I52</f>
        <v/>
      </c>
      <c r="K13" s="44" t="str">
        <f>'Data Entry'!J52</f>
        <v/>
      </c>
    </row>
    <row r="14" spans="1:11" ht="39.6" x14ac:dyDescent="0.25">
      <c r="A14" s="70" t="s">
        <v>43</v>
      </c>
      <c r="B14" s="78" t="s">
        <v>186</v>
      </c>
      <c r="C14" s="75" t="s">
        <v>187</v>
      </c>
      <c r="D14" s="72" t="s">
        <v>188</v>
      </c>
      <c r="E14" s="72" t="s">
        <v>189</v>
      </c>
      <c r="F14" s="47">
        <v>50</v>
      </c>
      <c r="G14" s="47">
        <v>100</v>
      </c>
      <c r="H14" s="48">
        <v>200</v>
      </c>
      <c r="I14" s="44" t="str">
        <f>'Data Entry'!H64</f>
        <v/>
      </c>
      <c r="J14" s="44" t="str">
        <f>'Data Entry'!I64</f>
        <v/>
      </c>
      <c r="K14" s="44" t="str">
        <f>'Data Entry'!J64</f>
        <v/>
      </c>
    </row>
    <row r="15" spans="1:11" ht="52.8" x14ac:dyDescent="0.25">
      <c r="A15" s="70" t="s">
        <v>44</v>
      </c>
      <c r="B15" s="71" t="s">
        <v>190</v>
      </c>
      <c r="C15" s="75" t="s">
        <v>191</v>
      </c>
      <c r="D15" s="75" t="s">
        <v>192</v>
      </c>
      <c r="E15" s="75" t="s">
        <v>193</v>
      </c>
      <c r="F15" s="47">
        <v>25</v>
      </c>
      <c r="G15" s="47">
        <v>50</v>
      </c>
      <c r="H15" s="48">
        <v>100</v>
      </c>
      <c r="I15" s="44" t="str">
        <f>'Data Entry'!H69</f>
        <v/>
      </c>
      <c r="J15" s="44" t="str">
        <f>'Data Entry'!I69</f>
        <v/>
      </c>
      <c r="K15" s="44" t="str">
        <f>'Data Entry'!J69</f>
        <v/>
      </c>
    </row>
    <row r="16" spans="1:11" ht="80.099999999999994" customHeight="1" x14ac:dyDescent="0.25">
      <c r="A16" s="70" t="s">
        <v>45</v>
      </c>
      <c r="B16" s="78" t="s">
        <v>194</v>
      </c>
      <c r="C16" s="75" t="s">
        <v>195</v>
      </c>
      <c r="D16" s="72" t="s">
        <v>196</v>
      </c>
      <c r="E16" s="72" t="s">
        <v>197</v>
      </c>
      <c r="F16" s="47">
        <v>50</v>
      </c>
      <c r="G16" s="47">
        <v>100</v>
      </c>
      <c r="H16" s="48">
        <v>200</v>
      </c>
      <c r="I16" s="44" t="str">
        <f>'Data Entry'!H79</f>
        <v/>
      </c>
      <c r="J16" s="44" t="str">
        <f>'Data Entry'!I79</f>
        <v/>
      </c>
      <c r="K16" s="44" t="str">
        <f>'Data Entry'!J79</f>
        <v/>
      </c>
    </row>
    <row r="17" spans="1:11" ht="21.75" customHeight="1" x14ac:dyDescent="0.25">
      <c r="A17" s="73" t="s">
        <v>37</v>
      </c>
      <c r="B17" s="69" t="s">
        <v>46</v>
      </c>
      <c r="C17" s="149"/>
      <c r="D17" s="150"/>
      <c r="E17" s="150"/>
      <c r="F17" s="151" t="s">
        <v>35</v>
      </c>
      <c r="G17" s="151"/>
      <c r="H17" s="85">
        <v>400</v>
      </c>
    </row>
    <row r="18" spans="1:11" ht="52.8" x14ac:dyDescent="0.25">
      <c r="A18" s="70" t="s">
        <v>47</v>
      </c>
      <c r="B18" s="71" t="s">
        <v>198</v>
      </c>
      <c r="C18" s="75" t="s">
        <v>199</v>
      </c>
      <c r="D18" s="75" t="s">
        <v>200</v>
      </c>
      <c r="E18" s="75" t="s">
        <v>201</v>
      </c>
      <c r="F18" s="47">
        <v>50</v>
      </c>
      <c r="G18" s="47">
        <v>100</v>
      </c>
      <c r="H18" s="48">
        <v>200</v>
      </c>
      <c r="I18" s="44" t="str">
        <f>'Data Entry'!H98</f>
        <v/>
      </c>
      <c r="J18" s="44" t="str">
        <f>'Data Entry'!I98</f>
        <v/>
      </c>
      <c r="K18" s="44" t="str">
        <f>'Data Entry'!J98</f>
        <v/>
      </c>
    </row>
    <row r="19" spans="1:11" ht="115.5" customHeight="1" thickBot="1" x14ac:dyDescent="0.3">
      <c r="A19" s="79" t="s">
        <v>48</v>
      </c>
      <c r="B19" s="80" t="s">
        <v>202</v>
      </c>
      <c r="C19" s="81" t="s">
        <v>203</v>
      </c>
      <c r="D19" s="82" t="s">
        <v>204</v>
      </c>
      <c r="E19" s="82" t="s">
        <v>205</v>
      </c>
      <c r="F19" s="49">
        <v>50</v>
      </c>
      <c r="G19" s="49">
        <v>100</v>
      </c>
      <c r="H19" s="50">
        <v>200</v>
      </c>
      <c r="I19" s="44" t="str">
        <f>'Data Entry'!H107</f>
        <v/>
      </c>
      <c r="J19" s="44" t="str">
        <f>'Data Entry'!I107</f>
        <v/>
      </c>
      <c r="K19" s="44" t="str">
        <f>'Data Entry'!J107</f>
        <v/>
      </c>
    </row>
    <row r="20" spans="1:11" ht="23.1" customHeight="1" x14ac:dyDescent="0.25">
      <c r="E20" s="51"/>
    </row>
    <row r="21" spans="1:11" ht="19.350000000000001" customHeight="1" thickBot="1" x14ac:dyDescent="0.3">
      <c r="A21" s="52" t="str">
        <f>IF('Data Entry'!D120=1,"ý","o")</f>
        <v>o</v>
      </c>
      <c r="B21" s="53" t="s">
        <v>50</v>
      </c>
      <c r="C21" s="54"/>
      <c r="E21" s="55" t="s">
        <v>51</v>
      </c>
      <c r="H21" s="56">
        <f>'Data Entry'!J120</f>
        <v>0</v>
      </c>
    </row>
    <row r="22" spans="1:11" ht="19.350000000000001" customHeight="1" x14ac:dyDescent="0.25">
      <c r="A22" s="52" t="str">
        <f>IF('Data Entry'!D120=11,"ý","o")</f>
        <v>o</v>
      </c>
      <c r="B22" s="53" t="s">
        <v>60</v>
      </c>
      <c r="C22" s="54"/>
      <c r="E22" s="55"/>
    </row>
    <row r="23" spans="1:11" ht="19.350000000000001" customHeight="1" thickBot="1" x14ac:dyDescent="0.3">
      <c r="A23" s="52" t="str">
        <f>IF('Data Entry'!D120=111,"ý","o")</f>
        <v>o</v>
      </c>
      <c r="B23" s="53" t="s">
        <v>116</v>
      </c>
      <c r="C23" s="54"/>
      <c r="D23" s="54"/>
      <c r="E23" s="55" t="s">
        <v>52</v>
      </c>
      <c r="H23" s="57">
        <f>'Data Entry'!J122</f>
        <v>0</v>
      </c>
    </row>
    <row r="24" spans="1:11" ht="19.350000000000001" customHeight="1" x14ac:dyDescent="0.25">
      <c r="A24" s="58"/>
      <c r="E24" s="55"/>
      <c r="F24" s="55"/>
      <c r="G24" s="55"/>
      <c r="H24" s="55"/>
    </row>
    <row r="25" spans="1:11" ht="19.350000000000001" customHeight="1" x14ac:dyDescent="0.25">
      <c r="A25" s="59" t="s">
        <v>49</v>
      </c>
      <c r="B25" s="60" t="s">
        <v>104</v>
      </c>
    </row>
    <row r="26" spans="1:11" ht="14.25" customHeight="1" x14ac:dyDescent="0.25">
      <c r="A26" s="58"/>
    </row>
    <row r="27" spans="1:11" ht="12.75" customHeight="1" x14ac:dyDescent="0.25">
      <c r="A27" s="59" t="s">
        <v>49</v>
      </c>
      <c r="B27" s="61" t="s">
        <v>53</v>
      </c>
      <c r="C27" s="44"/>
    </row>
    <row r="28" spans="1:11" ht="29.85" customHeight="1" x14ac:dyDescent="0.25">
      <c r="C28" s="44"/>
    </row>
    <row r="29" spans="1:11" x14ac:dyDescent="0.25">
      <c r="B29" s="62" t="s">
        <v>103</v>
      </c>
      <c r="C29" s="44"/>
      <c r="D29" s="62" t="s">
        <v>54</v>
      </c>
    </row>
    <row r="30" spans="1:11" ht="21.6" customHeight="1" x14ac:dyDescent="0.25">
      <c r="B30" s="62"/>
      <c r="C30" s="44"/>
    </row>
    <row r="31" spans="1:11" x14ac:dyDescent="0.25">
      <c r="B31" s="62" t="s">
        <v>55</v>
      </c>
      <c r="C31" s="44"/>
      <c r="D31" s="62" t="s">
        <v>54</v>
      </c>
    </row>
    <row r="32" spans="1:11" ht="21.6" customHeight="1" x14ac:dyDescent="0.25">
      <c r="C32" s="44"/>
    </row>
    <row r="33" spans="1:4" x14ac:dyDescent="0.25">
      <c r="B33" s="62" t="s">
        <v>56</v>
      </c>
      <c r="C33" s="44"/>
      <c r="D33" s="62" t="s">
        <v>54</v>
      </c>
    </row>
    <row r="34" spans="1:4" ht="21.6" customHeight="1" x14ac:dyDescent="0.25">
      <c r="A34" s="46"/>
      <c r="C34" s="44"/>
    </row>
    <row r="35" spans="1:4" x14ac:dyDescent="0.25">
      <c r="A35" s="46"/>
      <c r="B35" s="63" t="s">
        <v>107</v>
      </c>
      <c r="C35" s="44"/>
    </row>
    <row r="36" spans="1:4" ht="18.600000000000001" customHeight="1" x14ac:dyDescent="0.25">
      <c r="A36" s="46"/>
      <c r="B36" s="63"/>
      <c r="C36" s="44"/>
    </row>
    <row r="37" spans="1:4" x14ac:dyDescent="0.25">
      <c r="B37" s="64"/>
    </row>
    <row r="38" spans="1:4" x14ac:dyDescent="0.25">
      <c r="B38" s="64"/>
    </row>
  </sheetData>
  <sheetProtection algorithmName="SHA-512" hashValue="bR1gtnffryowI0spZ9kxgUJFBa/2JlAIQJooIAiEcNic2A2aB1p/kckqWQKABr8B04dNIpXtrp8llEbp8auKmA==" saltValue="ohDLn7oBTpAf2YNb7JUe0A==" spinCount="100000" sheet="1" selectLockedCells="1" selectUnlockedCells="1"/>
  <mergeCells count="12">
    <mergeCell ref="C11:E11"/>
    <mergeCell ref="F11:G11"/>
    <mergeCell ref="C17:E17"/>
    <mergeCell ref="F17:G17"/>
    <mergeCell ref="A1:H1"/>
    <mergeCell ref="A2:H2"/>
    <mergeCell ref="A4:A5"/>
    <mergeCell ref="C5:E5"/>
    <mergeCell ref="F5:G5"/>
    <mergeCell ref="C7:E7"/>
    <mergeCell ref="A3:H3"/>
    <mergeCell ref="F7:G7"/>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58" orientation="portrait" horizontalDpi="4294967293" verticalDpi="4294967293" r:id="rId1"/>
  <headerFooter alignWithMargins="0">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Setup &amp; Instructions</vt:lpstr>
      <vt:lpstr>Data Entry</vt:lpstr>
      <vt:lpstr>Scorecard</vt:lpstr>
      <vt:lpstr>adds</vt:lpstr>
      <vt:lpstr>beascout_flag</vt:lpstr>
      <vt:lpstr>bronze_met</vt:lpstr>
      <vt:lpstr>build_bronze_score</vt:lpstr>
      <vt:lpstr>build_gold_points</vt:lpstr>
      <vt:lpstr>build_gold_score</vt:lpstr>
      <vt:lpstr>build_silver_points</vt:lpstr>
      <vt:lpstr>build_silver_score</vt:lpstr>
      <vt:lpstr>DistrictName</vt:lpstr>
      <vt:lpstr>drops</vt:lpstr>
      <vt:lpstr>gain</vt:lpstr>
      <vt:lpstr>gold_auto_score</vt:lpstr>
      <vt:lpstr>num_scouts</vt:lpstr>
      <vt:lpstr>'Data Entry'!Print_Area</vt:lpstr>
      <vt:lpstr>'Data Entry'!Print_Titles</vt:lpstr>
      <vt:lpstr>RECHARTER_CALC</vt:lpstr>
      <vt:lpstr>recruitment_event</vt:lpstr>
      <vt:lpstr>silver_auto_score</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Troop JTE Spreadsheet v20210426</dc:title>
  <dc:creator>Frederick Hillenbrand</dc:creator>
  <cp:lastModifiedBy>Holly Wolfe</cp:lastModifiedBy>
  <cp:lastPrinted>2022-06-03T20:38:57Z</cp:lastPrinted>
  <dcterms:created xsi:type="dcterms:W3CDTF">2014-08-26T17:24:57Z</dcterms:created>
  <dcterms:modified xsi:type="dcterms:W3CDTF">2023-02-28T17:53:37Z</dcterms:modified>
  <cp:contentStatus>v20210426</cp:contentStatus>
</cp:coreProperties>
</file>